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U:\Documents\Syke\Laskurit\FinSolar\"/>
    </mc:Choice>
  </mc:AlternateContent>
  <xr:revisionPtr revIDLastSave="0" documentId="13_ncr:1_{13C73400-E577-40D3-9DC8-9DBE6B8F6796}" xr6:coauthVersionLast="41" xr6:coauthVersionMax="41" xr10:uidLastSave="{00000000-0000-0000-0000-000000000000}"/>
  <bookViews>
    <workbookView xWindow="-110" yWindow="-110" windowWidth="19420" windowHeight="10420" xr2:uid="{BD5EF00B-ABBC-4F70-9504-7E83EBE3C77F}"/>
  </bookViews>
  <sheets>
    <sheet name="PV kannattavuus ja mitoitus"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44" i="2" l="1"/>
  <c r="I44" i="2" s="1"/>
  <c r="F44" i="2"/>
  <c r="F11" i="2" l="1"/>
  <c r="B114" i="2" l="1"/>
  <c r="G113" i="2"/>
  <c r="F113" i="2"/>
  <c r="C113" i="2"/>
  <c r="F112" i="2"/>
  <c r="C112" i="2"/>
  <c r="F111" i="2"/>
  <c r="C111" i="2"/>
  <c r="F110" i="2"/>
  <c r="C110" i="2"/>
  <c r="F109" i="2"/>
  <c r="C109" i="2"/>
  <c r="F108" i="2"/>
  <c r="C108" i="2"/>
  <c r="F107" i="2"/>
  <c r="C107" i="2"/>
  <c r="F106" i="2"/>
  <c r="C106" i="2"/>
  <c r="G105" i="2"/>
  <c r="F105" i="2"/>
  <c r="C105" i="2"/>
  <c r="F104" i="2"/>
  <c r="C104" i="2"/>
  <c r="F103" i="2"/>
  <c r="C103" i="2"/>
  <c r="F102" i="2"/>
  <c r="C102" i="2"/>
  <c r="D98" i="2"/>
  <c r="G112" i="2" s="1"/>
  <c r="D87" i="2"/>
  <c r="J74" i="2"/>
  <c r="K74" i="2" s="1"/>
  <c r="J72" i="2"/>
  <c r="K72" i="2" s="1"/>
  <c r="J70" i="2"/>
  <c r="K70" i="2" s="1"/>
  <c r="J68" i="2"/>
  <c r="K68" i="2" s="1"/>
  <c r="J66" i="2"/>
  <c r="K66" i="2" s="1"/>
  <c r="J64" i="2"/>
  <c r="K64" i="2" s="1"/>
  <c r="M45" i="2"/>
  <c r="L45" i="2"/>
  <c r="L46" i="2" s="1"/>
  <c r="L47" i="2" s="1"/>
  <c r="L48" i="2" s="1"/>
  <c r="L49" i="2" s="1"/>
  <c r="L50" i="2" s="1"/>
  <c r="L51" i="2" s="1"/>
  <c r="L52" i="2" s="1"/>
  <c r="L53" i="2" s="1"/>
  <c r="L54" i="2" s="1"/>
  <c r="L55" i="2" s="1"/>
  <c r="L56" i="2" s="1"/>
  <c r="L57" i="2" s="1"/>
  <c r="L58" i="2" s="1"/>
  <c r="L59" i="2" s="1"/>
  <c r="L60" i="2" s="1"/>
  <c r="L61" i="2" s="1"/>
  <c r="L62" i="2" s="1"/>
  <c r="L63" i="2" s="1"/>
  <c r="L64" i="2" s="1"/>
  <c r="L65" i="2" s="1"/>
  <c r="L66" i="2" s="1"/>
  <c r="L67" i="2" s="1"/>
  <c r="L68" i="2" s="1"/>
  <c r="L69" i="2" s="1"/>
  <c r="L70" i="2" s="1"/>
  <c r="L71" i="2" s="1"/>
  <c r="L72" i="2" s="1"/>
  <c r="L73" i="2" s="1"/>
  <c r="L74" i="2" s="1"/>
  <c r="B45" i="2"/>
  <c r="R44" i="2"/>
  <c r="F38" i="2"/>
  <c r="F35" i="2"/>
  <c r="F31" i="2"/>
  <c r="F28" i="2"/>
  <c r="F21" i="2"/>
  <c r="D90" i="2" s="1"/>
  <c r="F19" i="2"/>
  <c r="F12" i="2"/>
  <c r="F10" i="2"/>
  <c r="F14" i="2" s="1"/>
  <c r="E45" i="2" l="1"/>
  <c r="G45" i="2" s="1"/>
  <c r="D45" i="2"/>
  <c r="E106" i="2"/>
  <c r="E113" i="2"/>
  <c r="K113" i="2" s="1"/>
  <c r="E105" i="2"/>
  <c r="K105" i="2" s="1"/>
  <c r="E112" i="2"/>
  <c r="K112" i="2" s="1"/>
  <c r="E104" i="2"/>
  <c r="E111" i="2"/>
  <c r="E103" i="2"/>
  <c r="E110" i="2"/>
  <c r="E102" i="2"/>
  <c r="E109" i="2"/>
  <c r="E108" i="2"/>
  <c r="E107" i="2"/>
  <c r="C45" i="2"/>
  <c r="H105" i="2"/>
  <c r="I105" i="2" s="1"/>
  <c r="L105" i="2" s="1"/>
  <c r="J73" i="2"/>
  <c r="K73" i="2" s="1"/>
  <c r="J71" i="2"/>
  <c r="K71" i="2" s="1"/>
  <c r="J69" i="2"/>
  <c r="K69" i="2" s="1"/>
  <c r="J67" i="2"/>
  <c r="K67" i="2" s="1"/>
  <c r="J65" i="2"/>
  <c r="K65" i="2" s="1"/>
  <c r="J63" i="2"/>
  <c r="J62" i="2"/>
  <c r="J61" i="2"/>
  <c r="J60" i="2"/>
  <c r="J59" i="2"/>
  <c r="J58" i="2"/>
  <c r="J57" i="2"/>
  <c r="J56" i="2"/>
  <c r="J55" i="2"/>
  <c r="J54" i="2"/>
  <c r="J53" i="2"/>
  <c r="J52" i="2"/>
  <c r="J51" i="2"/>
  <c r="J50" i="2"/>
  <c r="J49" i="2"/>
  <c r="J48" i="2"/>
  <c r="J47" i="2"/>
  <c r="J46" i="2"/>
  <c r="J45" i="2"/>
  <c r="B46" i="2"/>
  <c r="D91" i="2"/>
  <c r="I112" i="2"/>
  <c r="L112" i="2" s="1"/>
  <c r="H112" i="2"/>
  <c r="J112" i="2" s="1"/>
  <c r="C114" i="2"/>
  <c r="J105" i="2"/>
  <c r="H108" i="2"/>
  <c r="J108" i="2" s="1"/>
  <c r="G106" i="2"/>
  <c r="H113" i="2"/>
  <c r="I113" i="2" s="1"/>
  <c r="L113" i="2" s="1"/>
  <c r="H106" i="2"/>
  <c r="J106" i="2" s="1"/>
  <c r="G107" i="2"/>
  <c r="H107" i="2"/>
  <c r="J107" i="2" s="1"/>
  <c r="G108" i="2"/>
  <c r="G109" i="2"/>
  <c r="H109" i="2" s="1"/>
  <c r="J109" i="2" s="1"/>
  <c r="G102" i="2"/>
  <c r="G110" i="2"/>
  <c r="G103" i="2"/>
  <c r="G111" i="2"/>
  <c r="G104" i="2"/>
  <c r="K44" i="2" l="1"/>
  <c r="O44" i="2" s="1"/>
  <c r="K104" i="2"/>
  <c r="H104" i="2"/>
  <c r="J104" i="2" s="1"/>
  <c r="K106" i="2"/>
  <c r="I106" i="2"/>
  <c r="L106" i="2" s="1"/>
  <c r="J113" i="2"/>
  <c r="J75" i="2"/>
  <c r="N45" i="2"/>
  <c r="K107" i="2"/>
  <c r="I107" i="2"/>
  <c r="L107" i="2" s="1"/>
  <c r="F45" i="2"/>
  <c r="H45" i="2" s="1"/>
  <c r="E46" i="2" s="1"/>
  <c r="B47" i="2"/>
  <c r="M46" i="2"/>
  <c r="I102" i="2"/>
  <c r="H102" i="2"/>
  <c r="K102" i="2"/>
  <c r="G114" i="2"/>
  <c r="D116" i="2" s="1"/>
  <c r="I109" i="2"/>
  <c r="L109" i="2" s="1"/>
  <c r="K109" i="2"/>
  <c r="H111" i="2"/>
  <c r="J111" i="2" s="1"/>
  <c r="K111" i="2"/>
  <c r="C46" i="2"/>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H103" i="2"/>
  <c r="J103" i="2" s="1"/>
  <c r="K103" i="2"/>
  <c r="I103" i="2"/>
  <c r="L103" i="2" s="1"/>
  <c r="H110" i="2"/>
  <c r="J110" i="2" s="1"/>
  <c r="K110" i="2"/>
  <c r="K108" i="2"/>
  <c r="I108" i="2"/>
  <c r="L108" i="2" s="1"/>
  <c r="D46" i="2" l="1"/>
  <c r="K45" i="2"/>
  <c r="O45" i="2" s="1"/>
  <c r="I110" i="2"/>
  <c r="L110" i="2" s="1"/>
  <c r="B48" i="2"/>
  <c r="D47" i="2"/>
  <c r="M47" i="2"/>
  <c r="I104" i="2"/>
  <c r="L104" i="2" s="1"/>
  <c r="N46" i="2"/>
  <c r="F46" i="2"/>
  <c r="H46" i="2" s="1"/>
  <c r="E47" i="2" s="1"/>
  <c r="E83" i="2"/>
  <c r="H114" i="2"/>
  <c r="J102" i="2"/>
  <c r="J114" i="2" s="1"/>
  <c r="P44" i="2"/>
  <c r="K114" i="2"/>
  <c r="I111" i="2"/>
  <c r="L111" i="2" s="1"/>
  <c r="L102" i="2"/>
  <c r="Q45" i="2" l="1"/>
  <c r="R45" i="2" s="1"/>
  <c r="N47" i="2"/>
  <c r="L114" i="2"/>
  <c r="P45" i="2"/>
  <c r="D48" i="2"/>
  <c r="M48" i="2"/>
  <c r="B49" i="2"/>
  <c r="I114" i="2"/>
  <c r="D117" i="2" s="1"/>
  <c r="G46" i="2"/>
  <c r="K46" i="2" s="1"/>
  <c r="O46" i="2" s="1"/>
  <c r="F47" i="2"/>
  <c r="H47" i="2" s="1"/>
  <c r="E48" i="2" s="1"/>
  <c r="Q46" i="2" l="1"/>
  <c r="R46" i="2" s="1"/>
  <c r="B50" i="2"/>
  <c r="D49" i="2"/>
  <c r="M49" i="2"/>
  <c r="N48" i="2"/>
  <c r="G47" i="2"/>
  <c r="K47" i="2" s="1"/>
  <c r="F48" i="2"/>
  <c r="H48" i="2" s="1"/>
  <c r="E49" i="2" s="1"/>
  <c r="P46" i="2"/>
  <c r="O47" i="2" l="1"/>
  <c r="P47" i="2" s="1"/>
  <c r="D50" i="2"/>
  <c r="N50" i="2" s="1"/>
  <c r="M50" i="2"/>
  <c r="B51" i="2"/>
  <c r="N49" i="2"/>
  <c r="G48" i="2"/>
  <c r="K48" i="2" s="1"/>
  <c r="O48" i="2" s="1"/>
  <c r="F49" i="2"/>
  <c r="G49" i="2" s="1"/>
  <c r="H49" i="2" l="1"/>
  <c r="E50" i="2" s="1"/>
  <c r="P48" i="2"/>
  <c r="Q47" i="2"/>
  <c r="R47" i="2" s="1"/>
  <c r="Q48" i="2"/>
  <c r="R48" i="2" s="1"/>
  <c r="K49" i="2"/>
  <c r="O49" i="2" s="1"/>
  <c r="B52" i="2"/>
  <c r="D51" i="2"/>
  <c r="N51" i="2" s="1"/>
  <c r="M51" i="2"/>
  <c r="F50" i="2" l="1"/>
  <c r="G50" i="2" s="1"/>
  <c r="Q49" i="2"/>
  <c r="R49" i="2" s="1"/>
  <c r="D52" i="2"/>
  <c r="N52" i="2" s="1"/>
  <c r="M52" i="2"/>
  <c r="B53" i="2"/>
  <c r="P49" i="2"/>
  <c r="H50" i="2" l="1"/>
  <c r="E51" i="2" s="1"/>
  <c r="K50" i="2"/>
  <c r="O50" i="2" s="1"/>
  <c r="P50" i="2" s="1"/>
  <c r="B54" i="2"/>
  <c r="D53" i="2"/>
  <c r="M53" i="2"/>
  <c r="Q50" i="2" l="1"/>
  <c r="R50" i="2" s="1"/>
  <c r="F51" i="2"/>
  <c r="N53" i="2"/>
  <c r="D54" i="2"/>
  <c r="M54" i="2"/>
  <c r="B55" i="2"/>
  <c r="G51" i="2" l="1"/>
  <c r="K51" i="2" s="1"/>
  <c r="O51" i="2" s="1"/>
  <c r="H51" i="2"/>
  <c r="E52" i="2" s="1"/>
  <c r="B56" i="2"/>
  <c r="D55" i="2"/>
  <c r="M55" i="2"/>
  <c r="N54" i="2"/>
  <c r="Q51" i="2" l="1"/>
  <c r="R51" i="2" s="1"/>
  <c r="P51" i="2"/>
  <c r="F52" i="2"/>
  <c r="H52" i="2" s="1"/>
  <c r="E53" i="2" s="1"/>
  <c r="N55" i="2"/>
  <c r="D56" i="2"/>
  <c r="M56" i="2"/>
  <c r="B57" i="2"/>
  <c r="F53" i="2" l="1"/>
  <c r="H53" i="2" s="1"/>
  <c r="E54" i="2" s="1"/>
  <c r="G52" i="2"/>
  <c r="K52" i="2" s="1"/>
  <c r="O52" i="2" s="1"/>
  <c r="Q52" i="2" s="1"/>
  <c r="R52" i="2" s="1"/>
  <c r="B58" i="2"/>
  <c r="D57" i="2"/>
  <c r="M57" i="2"/>
  <c r="N56" i="2"/>
  <c r="F54" i="2" l="1"/>
  <c r="H54" i="2" s="1"/>
  <c r="E55" i="2" s="1"/>
  <c r="G53" i="2"/>
  <c r="K53" i="2" s="1"/>
  <c r="O53" i="2" s="1"/>
  <c r="Q53" i="2" s="1"/>
  <c r="R53" i="2" s="1"/>
  <c r="P52" i="2"/>
  <c r="N57" i="2"/>
  <c r="D58" i="2"/>
  <c r="M58" i="2"/>
  <c r="B59" i="2"/>
  <c r="G54" i="2" l="1"/>
  <c r="K54" i="2" s="1"/>
  <c r="O54" i="2" s="1"/>
  <c r="Q54" i="2" s="1"/>
  <c r="R54" i="2" s="1"/>
  <c r="P53" i="2"/>
  <c r="H55" i="2"/>
  <c r="E56" i="2" s="1"/>
  <c r="F55" i="2"/>
  <c r="B60" i="2"/>
  <c r="D59" i="2"/>
  <c r="N59" i="2" s="1"/>
  <c r="M59" i="2"/>
  <c r="N58" i="2"/>
  <c r="H56" i="2" l="1"/>
  <c r="E57" i="2" s="1"/>
  <c r="F56" i="2"/>
  <c r="G55" i="2"/>
  <c r="K55" i="2" s="1"/>
  <c r="O55" i="2" s="1"/>
  <c r="Q55" i="2" s="1"/>
  <c r="R55" i="2" s="1"/>
  <c r="P54" i="2"/>
  <c r="D60" i="2"/>
  <c r="N60" i="2" s="1"/>
  <c r="M60" i="2"/>
  <c r="B61" i="2"/>
  <c r="P55" i="2" l="1"/>
  <c r="G56" i="2"/>
  <c r="K56" i="2" s="1"/>
  <c r="O56" i="2" s="1"/>
  <c r="Q56" i="2" s="1"/>
  <c r="R56" i="2" s="1"/>
  <c r="H57" i="2"/>
  <c r="E58" i="2" s="1"/>
  <c r="F57" i="2"/>
  <c r="B62" i="2"/>
  <c r="D61" i="2"/>
  <c r="M61" i="2"/>
  <c r="P56" i="2" l="1"/>
  <c r="G57" i="2"/>
  <c r="K57" i="2" s="1"/>
  <c r="O57" i="2" s="1"/>
  <c r="F58" i="2"/>
  <c r="H58" i="2"/>
  <c r="E59" i="2" s="1"/>
  <c r="N61" i="2"/>
  <c r="D62" i="2"/>
  <c r="M62" i="2"/>
  <c r="B63" i="2"/>
  <c r="Q57" i="2" l="1"/>
  <c r="R57" i="2" s="1"/>
  <c r="P57" i="2"/>
  <c r="F59" i="2"/>
  <c r="H59" i="2"/>
  <c r="E60" i="2" s="1"/>
  <c r="G58" i="2"/>
  <c r="K58" i="2" s="1"/>
  <c r="O58" i="2" s="1"/>
  <c r="Q58" i="2" s="1"/>
  <c r="R58" i="2" s="1"/>
  <c r="B64" i="2"/>
  <c r="D63" i="2"/>
  <c r="M63" i="2"/>
  <c r="N62" i="2"/>
  <c r="F60" i="2" l="1"/>
  <c r="H60" i="2"/>
  <c r="E61" i="2" s="1"/>
  <c r="G59" i="2"/>
  <c r="K59" i="2" s="1"/>
  <c r="O59" i="2" s="1"/>
  <c r="Q59" i="2" s="1"/>
  <c r="R59" i="2" s="1"/>
  <c r="P58" i="2"/>
  <c r="N63" i="2"/>
  <c r="M64" i="2"/>
  <c r="B65" i="2"/>
  <c r="D64" i="2"/>
  <c r="F61" i="2" l="1"/>
  <c r="H61" i="2"/>
  <c r="E62" i="2" s="1"/>
  <c r="P59" i="2"/>
  <c r="G60" i="2"/>
  <c r="K60" i="2" s="1"/>
  <c r="O60" i="2" s="1"/>
  <c r="D65" i="2"/>
  <c r="B66" i="2"/>
  <c r="M65" i="2"/>
  <c r="N64" i="2"/>
  <c r="O64" i="2" s="1"/>
  <c r="Q60" i="2" l="1"/>
  <c r="R60" i="2" s="1"/>
  <c r="G61" i="2"/>
  <c r="K61" i="2" s="1"/>
  <c r="H62" i="2"/>
  <c r="E63" i="2" s="1"/>
  <c r="F62" i="2"/>
  <c r="P60" i="2"/>
  <c r="N65" i="2"/>
  <c r="O65" i="2" s="1"/>
  <c r="M66" i="2"/>
  <c r="B67" i="2"/>
  <c r="D66" i="2"/>
  <c r="N66" i="2" s="1"/>
  <c r="O66" i="2" s="1"/>
  <c r="O61" i="2" l="1"/>
  <c r="G62" i="2"/>
  <c r="K62" i="2" s="1"/>
  <c r="F63" i="2"/>
  <c r="H63" i="2"/>
  <c r="D67" i="2"/>
  <c r="M67" i="2"/>
  <c r="B68" i="2"/>
  <c r="O62" i="2" l="1"/>
  <c r="G63" i="2"/>
  <c r="G75" i="2" s="1"/>
  <c r="Q61" i="2"/>
  <c r="R61" i="2" s="1"/>
  <c r="P61" i="2"/>
  <c r="M68" i="2"/>
  <c r="B69" i="2"/>
  <c r="D68" i="2"/>
  <c r="N68" i="2" s="1"/>
  <c r="O68" i="2" s="1"/>
  <c r="N67" i="2"/>
  <c r="O67" i="2" s="1"/>
  <c r="P62" i="2" l="1"/>
  <c r="Q62" i="2"/>
  <c r="R62" i="2" s="1"/>
  <c r="K63" i="2"/>
  <c r="D69" i="2"/>
  <c r="M69" i="2"/>
  <c r="B70" i="2"/>
  <c r="O63" i="2" l="1"/>
  <c r="K75" i="2"/>
  <c r="M70" i="2"/>
  <c r="B71" i="2"/>
  <c r="D70" i="2"/>
  <c r="N69" i="2"/>
  <c r="O69" i="2" s="1"/>
  <c r="Q69" i="2" l="1"/>
  <c r="R69" i="2" s="1"/>
  <c r="Q63" i="2"/>
  <c r="R63" i="2" s="1"/>
  <c r="Q64" i="2"/>
  <c r="R64" i="2" s="1"/>
  <c r="P63" i="2"/>
  <c r="P64" i="2" s="1"/>
  <c r="P65" i="2" s="1"/>
  <c r="P66" i="2" s="1"/>
  <c r="P67" i="2" s="1"/>
  <c r="P68" i="2" s="1"/>
  <c r="P69" i="2" s="1"/>
  <c r="P70" i="2" s="1"/>
  <c r="Q67" i="2"/>
  <c r="R67" i="2" s="1"/>
  <c r="Q66" i="2"/>
  <c r="R66" i="2" s="1"/>
  <c r="Q68" i="2"/>
  <c r="R68" i="2" s="1"/>
  <c r="Q65" i="2"/>
  <c r="R65" i="2" s="1"/>
  <c r="N70" i="2"/>
  <c r="O70" i="2" s="1"/>
  <c r="Q70" i="2" s="1"/>
  <c r="R70" i="2" s="1"/>
  <c r="D71" i="2"/>
  <c r="B72" i="2"/>
  <c r="M71" i="2"/>
  <c r="N71" i="2" l="1"/>
  <c r="O71" i="2" s="1"/>
  <c r="Q71" i="2" s="1"/>
  <c r="R71" i="2" s="1"/>
  <c r="M72" i="2"/>
  <c r="B73" i="2"/>
  <c r="D72" i="2"/>
  <c r="N72" i="2" s="1"/>
  <c r="O72" i="2" s="1"/>
  <c r="Q72" i="2" s="1"/>
  <c r="R72" i="2" s="1"/>
  <c r="P71" i="2"/>
  <c r="P72" i="2" s="1"/>
  <c r="D73" i="2" l="1"/>
  <c r="B74" i="2"/>
  <c r="M73" i="2"/>
  <c r="M74" i="2" l="1"/>
  <c r="M75" i="2" s="1"/>
  <c r="D74" i="2"/>
  <c r="B75" i="2"/>
  <c r="E82" i="2" s="1"/>
  <c r="N73" i="2"/>
  <c r="O73" i="2" s="1"/>
  <c r="Q73" i="2" l="1"/>
  <c r="R73" i="2" s="1"/>
  <c r="R75" i="2" s="1"/>
  <c r="E79" i="2" s="1"/>
  <c r="P73" i="2"/>
  <c r="N74" i="2"/>
  <c r="D75" i="2"/>
  <c r="O74" i="2" l="1"/>
  <c r="P74" i="2" s="1"/>
  <c r="N75" i="2"/>
  <c r="E80" i="2" l="1"/>
  <c r="Q74" i="2"/>
  <c r="R74" i="2" l="1"/>
  <c r="E7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Rummukainen Miika</author>
    <author/>
  </authors>
  <commentList>
    <comment ref="F29" authorId="0" shapeId="0" xr:uid="{3266C289-7DDB-4170-99B2-F81BB3DFE618}">
      <text>
        <r>
          <rPr>
            <b/>
            <sz val="9"/>
            <color indexed="81"/>
            <rFont val="Tahoma"/>
            <family val="2"/>
          </rPr>
          <t>Rummukainen Miika:</t>
        </r>
        <r>
          <rPr>
            <sz val="9"/>
            <color indexed="81"/>
            <rFont val="Tahoma"/>
            <family val="2"/>
          </rPr>
          <t xml:space="preserve">
Kotitalousvähennys vero.fi:
Esim. 2020: 2250€ asennustyön maks.vähennysmäärä, 40% työkorvauksesta, 100€ omavastuuosuus, 3kW järjestelmässä asennusosuus tyypillisesti 1500-2000 € (vähennys luokkaa 500-700 €).
ARA energia-avustus:
Kun e-luvun parannusehto tai avustuksen saamisen taso täyttyy (esim. korjausten jälkeinen E-luku on enintään 0,56 (hlöasiakkaat!) / 0,64 (rivitalot) / 0,68 (kerrostalot) x rakentamisvuoden E-luku, enint. 4000 € per asunto), niin e 
 Business Finland energiatuki https://www.businessfinland.fi/energiatuki/ : 
Energiatukea eivät saa: asunto-osakeyhtiöt, asuinkiinteistöt, maatilat, ...
Lämpöpumppuhankkeet * 15 %
Aurinkosähköhankkeet 1.5.2019 alkaen 20 %
Uuden teknologian hankkeet enintään 40%</t>
        </r>
      </text>
    </comment>
    <comment ref="F33" authorId="0" shapeId="0" xr:uid="{57AD1960-6D3A-4601-B196-54D9ECAFF8B6}">
      <text>
        <r>
          <rPr>
            <b/>
            <sz val="9"/>
            <color indexed="81"/>
            <rFont val="Tahoma"/>
            <family val="2"/>
          </rPr>
          <t>Rummukainen Miika:</t>
        </r>
        <r>
          <rPr>
            <sz val="9"/>
            <color indexed="81"/>
            <rFont val="Tahoma"/>
            <family val="2"/>
          </rPr>
          <t xml:space="preserve">
Max. Laina-aika 20 vuotta.
</t>
        </r>
      </text>
    </comment>
    <comment ref="Q43" authorId="1" shapeId="0" xr:uid="{3B667FBB-551B-4F8A-9272-A5AE92985F07}">
      <text>
        <r>
          <rPr>
            <sz val="12"/>
            <color rgb="FF000000"/>
            <rFont val="Calibri"/>
            <family val="2"/>
          </rPr>
          <t xml:space="preserve">Taulukko laskee investoinnin nettonykyarvoja kullekin vuodelle perustuen siihen mennessä toteutuneisiin tulo-  ja menovirtoihin. Kun väri vaihtuu punaisesta vihreäksi, on investointi maksanut itsensä takaisin. Sen jälkeen vihreän väriset arvot kuvaavat investoinnista saatavaa positiivista tuottoa.
Järjestelmän eliniän lopussa eli 30 vuoden kohdalla oleva arvo kertoo koko investoinnin nettonykyarvon. Jos se on positiivinen eli vihreä, on investointi kannattava.
</t>
        </r>
      </text>
    </comment>
    <comment ref="J59" authorId="0" shapeId="0" xr:uid="{2D0F2F6B-0DE4-40A9-8549-63B0B3A554EF}">
      <text>
        <r>
          <rPr>
            <b/>
            <sz val="9"/>
            <color indexed="81"/>
            <rFont val="Tahoma"/>
            <charset val="1"/>
          </rPr>
          <t>Rummukainen Miika:</t>
        </r>
        <r>
          <rPr>
            <sz val="9"/>
            <color indexed="81"/>
            <rFont val="Tahoma"/>
            <charset val="1"/>
          </rPr>
          <t xml:space="preserve">
Invertterin vaihto</t>
        </r>
      </text>
    </comment>
    <comment ref="R75" authorId="1" shapeId="0" xr:uid="{3780F386-BC87-4D8F-BA05-DD7C786FBA7C}">
      <text>
        <r>
          <rPr>
            <sz val="12"/>
            <color rgb="FF000000"/>
            <rFont val="Calibri"/>
            <family val="2"/>
          </rPr>
          <t xml:space="preserve">Takaisinmaksuaika
</t>
        </r>
      </text>
    </comment>
    <comment ref="E80" authorId="0" shapeId="0" xr:uid="{C13EDA78-8002-4A03-B5E4-010E5F138133}">
      <text>
        <r>
          <rPr>
            <b/>
            <sz val="9"/>
            <color indexed="81"/>
            <rFont val="Tahoma"/>
            <family val="2"/>
          </rPr>
          <t>Rummukainen Miika:</t>
        </r>
        <r>
          <rPr>
            <sz val="9"/>
            <color indexed="81"/>
            <rFont val="Tahoma"/>
            <family val="2"/>
          </rPr>
          <t xml:space="preserve">
Investointiin sidotun pääoman tuotto (tai tuotto-odotus).
Tuottoprosentti, kun tarkastellaan investointia käyttöiän jaksolla.</t>
        </r>
      </text>
    </comment>
    <comment ref="D87" authorId="0" shapeId="0" xr:uid="{D0537852-317D-4D5A-90BE-CBC76A74512F}">
      <text>
        <r>
          <rPr>
            <b/>
            <sz val="9"/>
            <color indexed="81"/>
            <rFont val="Tahoma"/>
            <family val="2"/>
          </rPr>
          <t>Rummukainen Miika:</t>
        </r>
        <r>
          <rPr>
            <sz val="9"/>
            <color indexed="81"/>
            <rFont val="Tahoma"/>
            <family val="2"/>
          </rPr>
          <t xml:space="preserve">
Suomen keskimääräinen ostosähkö</t>
        </r>
      </text>
    </comment>
    <comment ref="D88" authorId="0" shapeId="0" xr:uid="{0678B678-3AD1-4EC4-9B09-B55E312764A6}">
      <text>
        <r>
          <rPr>
            <b/>
            <sz val="9"/>
            <color indexed="81"/>
            <rFont val="Tahoma"/>
            <family val="2"/>
          </rPr>
          <t>Rummukainen Miika:</t>
        </r>
        <r>
          <rPr>
            <sz val="9"/>
            <color indexed="81"/>
            <rFont val="Tahoma"/>
            <family val="2"/>
          </rPr>
          <t xml:space="preserve">
Kaukolämmön yhteistuotanto. Tarkista omalta energiatoimittajalta!</t>
        </r>
      </text>
    </comment>
    <comment ref="D89" authorId="0" shapeId="0" xr:uid="{4E4E6607-345A-4096-A2E6-F4E1EBB9E276}">
      <text>
        <r>
          <rPr>
            <b/>
            <sz val="9"/>
            <color indexed="81"/>
            <rFont val="Tahoma"/>
            <family val="2"/>
          </rPr>
          <t>Rummukainen Miika:</t>
        </r>
        <r>
          <rPr>
            <sz val="9"/>
            <color indexed="81"/>
            <rFont val="Tahoma"/>
            <family val="2"/>
          </rPr>
          <t xml:space="preserve">
Kevyt polttoöljy,
lämpöarvo 11,85 kWh/l</t>
        </r>
      </text>
    </comment>
    <comment ref="D90" authorId="0" shapeId="0" xr:uid="{0E421BBC-84DC-485A-897A-42F4D1693B31}">
      <text>
        <r>
          <rPr>
            <b/>
            <sz val="9"/>
            <color indexed="81"/>
            <rFont val="Tahoma"/>
            <family val="2"/>
          </rPr>
          <t>Rummukainen Miika:</t>
        </r>
        <r>
          <rPr>
            <sz val="9"/>
            <color indexed="81"/>
            <rFont val="Tahoma"/>
            <family val="2"/>
          </rPr>
          <t xml:space="preserve">
Säästetty energiamäärä x päästökerroin</t>
        </r>
      </text>
    </comment>
    <comment ref="D91" authorId="0" shapeId="0" xr:uid="{EB33CB43-B3ED-4999-8F88-E32430C23058}">
      <text>
        <r>
          <rPr>
            <b/>
            <sz val="9"/>
            <color indexed="81"/>
            <rFont val="Tahoma"/>
            <family val="2"/>
          </rPr>
          <t>Rummukainen Miika:</t>
        </r>
        <r>
          <rPr>
            <sz val="9"/>
            <color indexed="81"/>
            <rFont val="Tahoma"/>
            <family val="2"/>
          </rPr>
          <t xml:space="preserve">
Säästetty energiamäärä x päästökerroin</t>
        </r>
      </text>
    </comment>
    <comment ref="D101" authorId="1" shapeId="0" xr:uid="{EAB26CAD-4572-4B94-AD0F-6FDD487484CE}">
      <text>
        <r>
          <rPr>
            <sz val="12"/>
            <color rgb="FF000000"/>
            <rFont val="Calibri"/>
            <family val="2"/>
          </rPr>
          <t>Paikkakohtaiset tiedot PVGIS-järjestelmästä http://re.jrc.ec.europa.eu/pvgis/apps4/pvest.php tai Solar Electricity handbookista http://solarelectricityhandbook.com/solar-irradiance.html</t>
        </r>
      </text>
    </comment>
    <comment ref="H101" authorId="1" shapeId="0" xr:uid="{8E59DF26-1971-41EB-BB8C-5551482EA6A5}">
      <text>
        <r>
          <rPr>
            <sz val="12"/>
            <color rgb="FF000000"/>
            <rFont val="Calibri"/>
            <family val="2"/>
          </rPr>
          <t xml:space="preserve">Huomaa, että aurinkosähköä tulee vain valoisalla eikä pimeällä. Näin ollen omaan käyttöön saa todellisuudessa vain sen aurinkosähkön, jonka pystyy itse kuluttamaan valoisaan aikaan. Tämä karkea suuntaa-antava laskuri olettaa, että kaiken aurinkosähkön saa hyödynnettyä itse kunhan vain tuotanto alittaa oman kulutuksen. Tämä ei luonnollisestikaan pidä paikkaansa, vaan optimaalisessa mitoituksessa tulee huomioda vuorokausikohtainen sähkön tuotannon ja kulutuksen suhde.
</t>
        </r>
      </text>
    </comment>
  </commentList>
</comments>
</file>

<file path=xl/sharedStrings.xml><?xml version="1.0" encoding="utf-8"?>
<sst xmlns="http://schemas.openxmlformats.org/spreadsheetml/2006/main" count="182" uniqueCount="141">
  <si>
    <t>Kiinteistön aurinkosähköjärjestelmän kannattavuuslaskuri (versio 7/2020)</t>
  </si>
  <si>
    <t>Lisenssi: CC 4.0</t>
  </si>
  <si>
    <r>
      <t xml:space="preserve">Huom! Voit tehdä omia laskelmia, kun olet ladannut tiedoston omalle koneellesi. Lataa laskentataulukko omaan käyttöösi Excel-tiedostona kohdasta "File" -&gt; "Download as" -&gt; Excel. </t>
    </r>
    <r>
      <rPr>
        <i/>
        <sz val="11"/>
        <color rgb="FF000000"/>
        <rFont val="Arial"/>
        <family val="2"/>
      </rPr>
      <t>Laskentapohjassa on esimerkkinä kunnan 20 kW:n aurinkosähköjärjestelmän kannattavuuslaskelmat.</t>
    </r>
  </si>
  <si>
    <t>Aurinkosähköjärjestelmän kannattavuuden laskemiseksi täytä lähtötiedot punaisiin soluihin, jotka ovat välttämättömiä lähtötietoja:</t>
  </si>
  <si>
    <t>Tarkempien ja luotettavampien laskelmien laatimiseksi täytä tiedot myös sinisiin soluihin:</t>
  </si>
  <si>
    <t>Tiedot kiinteistön ostosähkön kustannuksista (aurinkosähköjärjestelmän vertailukustannukset):</t>
  </si>
  <si>
    <t>Sähköenergian ostohinta</t>
  </si>
  <si>
    <t>snt/kWh</t>
  </si>
  <si>
    <t>Vinkki: katso hinta sähkölaskusta</t>
  </si>
  <si>
    <t>Energiaperusteinen sähkön siirtohinta</t>
  </si>
  <si>
    <t>Vinkki: katso hinta sähkön siirtolaskusta</t>
  </si>
  <si>
    <t>Sähkövero ja huoltovarmuusmaksu</t>
  </si>
  <si>
    <t>Lähde:https://www.vero.fi/yritykset-ja-yhteisot/tietoa-yritysverotuksesta/valmisteverotus/sahko_ja_eraat_polttoaineet/sahkon_ja_eraiden_polttoaineiden_verota/</t>
  </si>
  <si>
    <t>Ostosähkön arvonlisävero</t>
  </si>
  <si>
    <t>Yritykset ja kunnat 0%, kuluttajat 24%</t>
  </si>
  <si>
    <t>Välitulos: aurinkosähkön vertailuhinta eli aurinkosähkön vaihtoehtoiskustannus</t>
  </si>
  <si>
    <t>Arvio ostosähkön hinnan noususta %/v</t>
  </si>
  <si>
    <t>/vuosi</t>
  </si>
  <si>
    <t>Lähde: https://energiavirasto.fi/sahkon-hintatilastot; http://www.stat.fi/til/ehi/2019/03/ehi_2019_03_2019-12-11_tie_001_fi.html</t>
  </si>
  <si>
    <t>Korvattavan energian kulutus kohteessa vuoddessa</t>
  </si>
  <si>
    <t>kWh/v</t>
  </si>
  <si>
    <t>Tiedot hankittavasta aurinkosähköjärjestelmästä:</t>
  </si>
  <si>
    <t xml:space="preserve">Aurinkosähköjärjestelmän koko tehona kWp </t>
  </si>
  <si>
    <t>kWp</t>
  </si>
  <si>
    <t>Välitulos: järjestelmän koko paneelien pinta-alana noin m2</t>
  </si>
  <si>
    <t>neliömetriä</t>
  </si>
  <si>
    <t>Aurinkosähkön vuosituotto järjestelmän sijainnin mukaan</t>
  </si>
  <si>
    <t>kWh/kWp</t>
  </si>
  <si>
    <t>Lähde: Suomen säteilykartta. Saatavissa: http://re.jrc.ec.europa.eu/pvgis/cmaps/eu_cmsaf_opt/G_opt_FI.pdf</t>
  </si>
  <si>
    <t>Välitulos: aurinkosähköjärjestelmän vuosituotto alussa</t>
  </si>
  <si>
    <t>kWh</t>
  </si>
  <si>
    <t>Aurinkovoimalan vuosittainen sähköntuotannon vähenemä %/v</t>
  </si>
  <si>
    <t>%</t>
  </si>
  <si>
    <t>Lähde: Wirth Harry. Recent Facts about Photovoltaics in Germany. 2015. Fraunhofer Institute for Solar Energy Systems ISE. Saatavissa: https://www.ise.fraunhofer.de/en/publications/veroeffentlichungen-pdf-dateien-en/studien-und-konzeptpapiere/recent-facts-about-photovoltaics-in-germany.pdf</t>
  </si>
  <si>
    <t>Aurinkosähkön ylijäämän osuus % vuosituotannosta, oletettu</t>
  </si>
  <si>
    <t>Huom. Taloudellisesti kannattavan aurinkosähköjärjestelmän mitoituksessä on tärkeää, että ylijäämän osuus on mahdollisimman alhainen</t>
  </si>
  <si>
    <t>Aurinkosähkön ylijäämän myyntihinta verkkoon snt/kWh</t>
  </si>
  <si>
    <t>Yleensä välillä 2-6 snt/kWh riippuen sähköyhtiöstä</t>
  </si>
  <si>
    <t>Tiedot aurinkosähköjärjestelmän hankinta-, ylläpito- sekä rahoituskustannuksista:</t>
  </si>
  <si>
    <t>Aurinkosähköjärjestelmän avaimet käteen -investointikustannus € (laitteet ja asennus)</t>
  </si>
  <si>
    <t>euroa</t>
  </si>
  <si>
    <t>Huom. Yritykset ja kunnat sis ALV 0% ja kuluttajat hinnassa mukana ALV 24 %.</t>
  </si>
  <si>
    <t xml:space="preserve">Välitulos: Järjestelmän vertailuhinta ilman tukia </t>
  </si>
  <si>
    <t>euroa/kWp</t>
  </si>
  <si>
    <t>Mahdollinen investointituki, kotitalousvähennys tms. alkuinvestoinnista, %</t>
  </si>
  <si>
    <t>Oma mainos-, brändi- tai ympäristötuki investoinnille €</t>
  </si>
  <si>
    <t xml:space="preserve">Välitulos: Järjestelmän investointikustannus sisältäen mahdolliset tuet € </t>
  </si>
  <si>
    <t>Ohje: Investointikustannus alla olevan taulukon solussa E46 (ks alla).</t>
  </si>
  <si>
    <t>Lainan tai ulkopuolisen rahoituksen määrä</t>
  </si>
  <si>
    <t>Laina-aika tai rahoitussopimuksen pituus</t>
  </si>
  <si>
    <t>vuotta</t>
  </si>
  <si>
    <t>Lainan tai rahoituksen korko</t>
  </si>
  <si>
    <t>Välitulos: Lainan tai ulkopuolisen rahoituksen maksuerät/vuosi</t>
  </si>
  <si>
    <t>euroa/vuotta</t>
  </si>
  <si>
    <t xml:space="preserve"> </t>
  </si>
  <si>
    <t>Investoinnin tuottovaatimus</t>
  </si>
  <si>
    <t>Tuottovaatimus ei ole tässä tapauksessa relevantti, koska investoinnilla vähennetään juoksevia kuluja, jotka eivät ole muutoin vältettävissä</t>
  </si>
  <si>
    <t>Invertterin vaihdon kustannus, osuus alkuinvestoinnista. Oletettu tapahtuvan kerran aurinkosähköjärjestelmän elinaikana 15. vuotena.</t>
  </si>
  <si>
    <t xml:space="preserve">Yleensä 6-10% alkuinvestoinnista riippuen järjestelmän koosta: pienissä järjestelmissä osuus on suurempi ja suurissa järjestelmissä pienempi. </t>
  </si>
  <si>
    <t>Vuotuiset ylläpitokulut (vakuutukset, huolto tms. kulut)</t>
  </si>
  <si>
    <t>Aurinkosähkön kustannus- ja tuottolaskelmat järjestelmän elinkaaren aikana:</t>
  </si>
  <si>
    <t>Aurinkosähköjärjestelmän pitoaika ja tuotanto</t>
  </si>
  <si>
    <t>Aurinkosähkön vertailukustannukset</t>
  </si>
  <si>
    <t>Aurinkosähkön tuotantokustannukset</t>
  </si>
  <si>
    <t>Aurinkosähkön ylijäämän myynti</t>
  </si>
  <si>
    <t>Aurinkosähkön tuotto- ja talouslaskelmat</t>
  </si>
  <si>
    <t>Järjestelmän pitoaika vuosina</t>
  </si>
  <si>
    <t>Aurinko- sähkön tuotanto kWh/v</t>
  </si>
  <si>
    <t>Ostosähkön hankinta- kustannus eur/kWh</t>
  </si>
  <si>
    <t>Aurinkosähkön tuotantoa vastaavan ostosähkön arvo eur/v</t>
  </si>
  <si>
    <t>Laina-aika</t>
  </si>
  <si>
    <t>Investoinnin kertamaksu tai lainaerät €/v</t>
  </si>
  <si>
    <t>Rahoituksen korkokulut eur/v</t>
  </si>
  <si>
    <t>Lainasaldo</t>
  </si>
  <si>
    <t>Käsiraha, jos laina ei mitoitettu koko investoinnille</t>
  </si>
  <si>
    <t>Ylläpito- ja huoltokulut eur/v</t>
  </si>
  <si>
    <t>Aurinkosähkön kustannukset yhteensä eur/v</t>
  </si>
  <si>
    <t>Aurinkosähkön ylijäämän myyntihinta eur/kWh</t>
  </si>
  <si>
    <t>Aurinkosähkön ylijäämän myyntituotot eur/v</t>
  </si>
  <si>
    <t>Aurinkosähkön tuotannon arvo yhteensä eur/v</t>
  </si>
  <si>
    <t>Kassavirta eu/v</t>
  </si>
  <si>
    <t>Investoinnin kumulatiivinen tuotto eur/v</t>
  </si>
  <si>
    <t>Investoinnin nettonykyarvoja (NPV) laskentakorolla eur/v</t>
  </si>
  <si>
    <t>Takaisinmaksu- vuodet</t>
  </si>
  <si>
    <t>YHTEENSÄ</t>
  </si>
  <si>
    <r>
      <rPr>
        <b/>
        <sz val="12"/>
        <color rgb="FF000000"/>
        <rFont val="Calibri"/>
        <family val="2"/>
      </rPr>
      <t>Yhteenveto</t>
    </r>
    <r>
      <rPr>
        <b/>
        <sz val="12"/>
        <color rgb="FF000000"/>
        <rFont val="Calibri"/>
        <family val="2"/>
      </rPr>
      <t>: investoinnin tuotto- ja kannattavuuslaskelmat</t>
    </r>
  </si>
  <si>
    <t>Investoinnin nettonykyarvo 30 vuoden käyttöiällä</t>
  </si>
  <si>
    <t>Takaisinmaksuaika laskentakorolla</t>
  </si>
  <si>
    <t>Investoinnin sisäinen korkokanta käyttöiän aikana</t>
  </si>
  <si>
    <t>Vertaa:</t>
  </si>
  <si>
    <t>Aurinkosähkön omakustannushinta 30 vuoden pitoajalla</t>
  </si>
  <si>
    <t xml:space="preserve">Arvioitu ostosähkön keskimääräinen hinta 30 vuoden aikana </t>
  </si>
  <si>
    <t xml:space="preserve">snt/kWh </t>
  </si>
  <si>
    <t>Päästöarvot</t>
  </si>
  <si>
    <t>Korvattavan ostoenergian päästökerroin (sähkö)</t>
  </si>
  <si>
    <t>gCO2/kWh</t>
  </si>
  <si>
    <t>Lähde:</t>
  </si>
  <si>
    <t>www.ilmastolaskuri.fi</t>
  </si>
  <si>
    <t>Korvattavan ostoenergian päästökerroin (kaukolämpö)</t>
  </si>
  <si>
    <t>Korvattavan ostoenergian päästökerroin (polttoöljy)</t>
  </si>
  <si>
    <t>Päästövähennys per vuosi</t>
  </si>
  <si>
    <t>kgCO2/v</t>
  </si>
  <si>
    <t>Päästövähennys per vuosi huomioiden mahd. sähkönkulutuksen muutos</t>
  </si>
  <si>
    <t>Kiinteistön aurinkosähköjärjestelmän mitoituksen arvioimiseksi täytä lähtötiedot punaisiin soluihin:</t>
  </si>
  <si>
    <t xml:space="preserve">Aurinkosähköjärjestelmän koko tehona Wp </t>
  </si>
  <si>
    <t>Wp</t>
  </si>
  <si>
    <t>Vinkki: säädä koko sellaiseksi, että järjestelmästä syntyy mahdollisimman vähän ylijäämää</t>
  </si>
  <si>
    <r>
      <t xml:space="preserve">Aurinkosähköjärjestelmän hyötysuhde </t>
    </r>
    <r>
      <rPr>
        <sz val="12"/>
        <color rgb="FF000000"/>
        <rFont val="Calibri"/>
        <family val="2"/>
      </rPr>
      <t xml:space="preserve">% </t>
    </r>
    <r>
      <rPr>
        <sz val="12"/>
        <color rgb="FF000000"/>
        <rFont val="Calibri"/>
        <family val="2"/>
      </rPr>
      <t>(suhde, jolla säteilymäärä saadaan talteen)</t>
    </r>
  </si>
  <si>
    <t>Kiinteistön vuorokausikohtaisesta sähkönkulutuksesta maksimiosuus, jonka voi tuottaa omalla aurinkosähköllä %</t>
  </si>
  <si>
    <t xml:space="preserve">Vinkki: Jos esimerkiksi heinäkuussa yhden vuorokauden aikana sähköä kuluu tasaisesti 10 kWh tunnissa eli yhteensä 240 kWh/vrk, niin karkeasti arvioiden aurinkosähköllä voi kiinteistön sähkönkulutuksen määrästä kattaa valoisaan aikaan maksimissaan noin puolet edellyttäen että järjestelmän tuotto kattaisi valoisaan aikaan sähkönkulutuksen kokonaan. </t>
  </si>
  <si>
    <t>Järjestelmän koko paneelien pinta-alana m2</t>
  </si>
  <si>
    <t>Kuukaudet</t>
  </si>
  <si>
    <t>Päivien määrä kuukaudessa</t>
  </si>
  <si>
    <t>Kiinteistön kuukausikohtainen sähkönkulutus kWh/kk</t>
  </si>
  <si>
    <t>Auringon säteily kWh/m2/pv sijainnin mukaan</t>
  </si>
  <si>
    <t xml:space="preserve"> Sähkön ostohinta €/MWh/kk</t>
  </si>
  <si>
    <t>Aurinkosähkön ylijäämän myyntihinta €/MWh/kk</t>
  </si>
  <si>
    <t>Aurinkosähkön tuotanto kWh/kk</t>
  </si>
  <si>
    <t>Aurinkosähköä omaan käyttöön kWh</t>
  </si>
  <si>
    <t>Aurinkosähköä myyntiin kWh</t>
  </si>
  <si>
    <t>Sähkön ostotarve kWh</t>
  </si>
  <si>
    <t>Omaan käyttöön tuotetun aurinkosähkön arvo €</t>
  </si>
  <si>
    <t>Sähkön myyntitulot €</t>
  </si>
  <si>
    <t>Tammikuu</t>
  </si>
  <si>
    <t>Helmikuu</t>
  </si>
  <si>
    <t>Maaliskuu</t>
  </si>
  <si>
    <t>Huhtikuu</t>
  </si>
  <si>
    <t>Toukokuu</t>
  </si>
  <si>
    <t>Kesäkuu</t>
  </si>
  <si>
    <t>Heinäkuu</t>
  </si>
  <si>
    <t>Elokuu</t>
  </si>
  <si>
    <t>Syyskuu</t>
  </si>
  <si>
    <t>Lokakuu</t>
  </si>
  <si>
    <t>Marraskuu</t>
  </si>
  <si>
    <t>Joulukuu</t>
  </si>
  <si>
    <t>Yhteensä</t>
  </si>
  <si>
    <t>Aurinkosähköjärjestelmän vuosituotto</t>
  </si>
  <si>
    <t>Aurinkosähkön myynnin tai ylijäämän osuus % vuodessa</t>
  </si>
  <si>
    <t xml:space="preserve">Kannattavuuslaskurin v1.0  tekijät: Juntunen Jouni, Jalas Mikko ja Auvinen Karoliina. 2015. FinSolar-hanke, Aalto-yliopisto. </t>
  </si>
  <si>
    <t>Kannattavuuslaskurin v1.1 tekijät: Auvinen Karoliina ja Rummukainen Miika. 2020. Canemure-hanke, Suomen ympäristökeskus SYKE.</t>
  </si>
  <si>
    <t>Huom. Energiatuki (esim. kuntien toimitilat) 20%, Energia-avustus (taloyhtiöt) enint. 50% / 4000€ per asunto.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</si>
</sst>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0\ &quot;€&quot;;[Red]\-#,##0\ &quot;€&quot;"/>
    <numFmt numFmtId="164" formatCode="0.0"/>
    <numFmt numFmtId="165" formatCode="#,##0.000"/>
    <numFmt numFmtId="166" formatCode="0.0%"/>
    <numFmt numFmtId="167" formatCode="&quot;€&quot;#,##0"/>
    <numFmt numFmtId="168" formatCode="#,##0\ &quot;€&quot;"/>
    <numFmt numFmtId="169" formatCode="[$€]#,##0"/>
    <numFmt numFmtId="170" formatCode="[$€]#,##0.0"/>
    <numFmt numFmtId="171" formatCode="#,##0.00\ &quot;€&quot;"/>
    <numFmt numFmtId="172" formatCode="[$€]#,##0.00"/>
    <numFmt numFmtId="173" formatCode="#,##0.0\ &quot;€&quot;"/>
    <numFmt numFmtId="174" formatCode="#,##0.0"/>
  </numFmts>
  <fonts count="23" x14ac:knownFonts="1">
    <font>
      <sz val="11"/>
      <color theme="1"/>
      <name val="Calibri"/>
      <family val="2"/>
      <scheme val="minor"/>
    </font>
    <font>
      <b/>
      <sz val="11"/>
      <color theme="1"/>
      <name val="Calibri"/>
      <family val="2"/>
      <scheme val="minor"/>
    </font>
    <font>
      <sz val="12"/>
      <color rgb="FF000000"/>
      <name val="Calibri"/>
      <family val="2"/>
    </font>
    <font>
      <b/>
      <sz val="12"/>
      <color rgb="FF000000"/>
      <name val="Arial"/>
      <family val="2"/>
    </font>
    <font>
      <sz val="11"/>
      <color rgb="FF000000"/>
      <name val="Arial"/>
      <family val="2"/>
    </font>
    <font>
      <b/>
      <sz val="11"/>
      <color rgb="FF000000"/>
      <name val="Arial"/>
      <family val="2"/>
    </font>
    <font>
      <i/>
      <sz val="11"/>
      <color rgb="FF000000"/>
      <name val="Arial"/>
      <family val="2"/>
    </font>
    <font>
      <b/>
      <sz val="11"/>
      <color rgb="FFFF0000"/>
      <name val="Arial"/>
      <family val="2"/>
    </font>
    <font>
      <b/>
      <sz val="11"/>
      <color rgb="FF0000FF"/>
      <name val="Arial"/>
      <family val="2"/>
    </font>
    <font>
      <sz val="11"/>
      <name val="Arial"/>
      <family val="2"/>
    </font>
    <font>
      <sz val="12"/>
      <name val="Calibri"/>
      <family val="2"/>
    </font>
    <font>
      <sz val="11"/>
      <color rgb="FFFF0000"/>
      <name val="Arial"/>
      <family val="2"/>
    </font>
    <font>
      <sz val="11"/>
      <color rgb="FF0000FF"/>
      <name val="Arial"/>
      <family val="2"/>
    </font>
    <font>
      <b/>
      <sz val="11"/>
      <name val="Arial"/>
      <family val="2"/>
    </font>
    <font>
      <sz val="11"/>
      <color rgb="FF3366FF"/>
      <name val="Arial"/>
      <family val="2"/>
    </font>
    <font>
      <i/>
      <sz val="11"/>
      <name val="Arial"/>
      <family val="2"/>
    </font>
    <font>
      <b/>
      <sz val="12"/>
      <color rgb="FF000000"/>
      <name val="Calibri"/>
      <family val="2"/>
    </font>
    <font>
      <sz val="12"/>
      <color theme="4"/>
      <name val="Calibri"/>
      <family val="2"/>
    </font>
    <font>
      <u/>
      <sz val="12"/>
      <color theme="10"/>
      <name val="Calibri"/>
      <family val="2"/>
    </font>
    <font>
      <b/>
      <sz val="9"/>
      <color indexed="81"/>
      <name val="Tahoma"/>
      <family val="2"/>
    </font>
    <font>
      <sz val="9"/>
      <color indexed="81"/>
      <name val="Tahoma"/>
      <family val="2"/>
    </font>
    <font>
      <b/>
      <sz val="9"/>
      <color indexed="81"/>
      <name val="Tahoma"/>
      <charset val="1"/>
    </font>
    <font>
      <sz val="9"/>
      <color indexed="81"/>
      <name val="Tahoma"/>
      <charset val="1"/>
    </font>
  </fonts>
  <fills count="14">
    <fill>
      <patternFill patternType="none"/>
    </fill>
    <fill>
      <patternFill patternType="gray125"/>
    </fill>
    <fill>
      <patternFill patternType="solid">
        <fgColor rgb="FFFFFF00"/>
        <bgColor rgb="FFFFFF00"/>
      </patternFill>
    </fill>
    <fill>
      <patternFill patternType="solid">
        <fgColor rgb="FFF3F3F3"/>
        <bgColor rgb="FFF3F3F3"/>
      </patternFill>
    </fill>
    <fill>
      <patternFill patternType="solid">
        <fgColor rgb="FFFFFFFF"/>
        <bgColor rgb="FFFFFFFF"/>
      </patternFill>
    </fill>
    <fill>
      <patternFill patternType="solid">
        <fgColor rgb="FFFCE5CD"/>
        <bgColor rgb="FFFCE5CD"/>
      </patternFill>
    </fill>
    <fill>
      <patternFill patternType="solid">
        <fgColor rgb="FFCFE2F3"/>
        <bgColor rgb="FFCFE2F3"/>
      </patternFill>
    </fill>
    <fill>
      <patternFill patternType="solid">
        <fgColor rgb="FFFFF2CC"/>
        <bgColor rgb="FFFFF2CC"/>
      </patternFill>
    </fill>
    <fill>
      <patternFill patternType="solid">
        <fgColor rgb="FFC9DAF8"/>
        <bgColor rgb="FFC9DAF8"/>
      </patternFill>
    </fill>
    <fill>
      <patternFill patternType="solid">
        <fgColor rgb="FFEAD1DC"/>
        <bgColor rgb="FFEAD1DC"/>
      </patternFill>
    </fill>
    <fill>
      <patternFill patternType="solid">
        <fgColor rgb="FFFFFF00"/>
        <bgColor rgb="FFFFFFFF"/>
      </patternFill>
    </fill>
    <fill>
      <patternFill patternType="solid">
        <fgColor theme="0"/>
        <bgColor rgb="FFFCE5CD"/>
      </patternFill>
    </fill>
    <fill>
      <patternFill patternType="solid">
        <fgColor theme="0"/>
        <bgColor rgb="FFC9DAF8"/>
      </patternFill>
    </fill>
    <fill>
      <patternFill patternType="solid">
        <fgColor theme="0"/>
        <bgColor rgb="FFCFE2F3"/>
      </patternFill>
    </fill>
  </fills>
  <borders count="20">
    <border>
      <left/>
      <right/>
      <top/>
      <bottom/>
      <diagonal/>
    </border>
    <border>
      <left style="medium">
        <color rgb="FF000000"/>
      </left>
      <right/>
      <top style="medium">
        <color rgb="FF000000"/>
      </top>
      <bottom/>
      <diagonal/>
    </border>
    <border>
      <left/>
      <right/>
      <top style="medium">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top/>
      <bottom/>
      <diagonal/>
    </border>
  </borders>
  <cellStyleXfs count="3">
    <xf numFmtId="0" fontId="0" fillId="0" borderId="0"/>
    <xf numFmtId="0" fontId="2" fillId="0" borderId="0"/>
    <xf numFmtId="0" fontId="18" fillId="0" borderId="0" applyNumberFormat="0" applyFill="0" applyBorder="0" applyAlignment="0" applyProtection="0"/>
  </cellStyleXfs>
  <cellXfs count="174">
    <xf numFmtId="0" fontId="0" fillId="0" borderId="0" xfId="0"/>
    <xf numFmtId="0" fontId="3" fillId="0" borderId="1" xfId="1" applyFont="1" applyBorder="1" applyAlignment="1"/>
    <xf numFmtId="0" fontId="4" fillId="0" borderId="2" xfId="1" applyFont="1" applyBorder="1" applyAlignment="1"/>
    <xf numFmtId="0" fontId="4" fillId="0" borderId="0" xfId="1" applyFont="1" applyAlignment="1"/>
    <xf numFmtId="0" fontId="2" fillId="0" borderId="0" xfId="1" applyFont="1" applyAlignment="1"/>
    <xf numFmtId="0" fontId="7" fillId="0" borderId="0" xfId="1" applyFont="1" applyAlignment="1"/>
    <xf numFmtId="0" fontId="8" fillId="0" borderId="0" xfId="1" applyFont="1" applyAlignment="1"/>
    <xf numFmtId="0" fontId="9" fillId="0" borderId="0" xfId="1" applyFont="1"/>
    <xf numFmtId="164" fontId="11" fillId="0" borderId="5" xfId="1" applyNumberFormat="1" applyFont="1" applyBorder="1" applyAlignment="1"/>
    <xf numFmtId="165" fontId="12" fillId="0" borderId="5" xfId="1" applyNumberFormat="1" applyFont="1" applyBorder="1" applyAlignment="1"/>
    <xf numFmtId="9" fontId="12" fillId="0" borderId="5" xfId="1" applyNumberFormat="1" applyFont="1" applyBorder="1" applyAlignment="1"/>
    <xf numFmtId="2" fontId="6" fillId="3" borderId="5" xfId="1" applyNumberFormat="1" applyFont="1" applyFill="1" applyBorder="1" applyAlignment="1"/>
    <xf numFmtId="166" fontId="11" fillId="0" borderId="10" xfId="1" applyNumberFormat="1" applyFont="1" applyBorder="1" applyAlignment="1"/>
    <xf numFmtId="1" fontId="11" fillId="0" borderId="11" xfId="1" applyNumberFormat="1" applyFont="1" applyBorder="1"/>
    <xf numFmtId="0" fontId="13" fillId="0" borderId="0" xfId="1" applyFont="1" applyAlignment="1"/>
    <xf numFmtId="0" fontId="9" fillId="0" borderId="0" xfId="1" applyFont="1" applyAlignment="1"/>
    <xf numFmtId="0" fontId="6" fillId="3" borderId="5" xfId="1" applyFont="1" applyFill="1" applyBorder="1" applyAlignment="1"/>
    <xf numFmtId="0" fontId="6" fillId="0" borderId="0" xfId="1" applyFont="1" applyAlignment="1"/>
    <xf numFmtId="1" fontId="14" fillId="0" borderId="5" xfId="1" applyNumberFormat="1" applyFont="1" applyBorder="1" applyAlignment="1"/>
    <xf numFmtId="1" fontId="15" fillId="3" borderId="5" xfId="1" applyNumberFormat="1" applyFont="1" applyFill="1" applyBorder="1" applyAlignment="1"/>
    <xf numFmtId="166" fontId="12" fillId="0" borderId="5" xfId="1" applyNumberFormat="1" applyFont="1" applyBorder="1" applyAlignment="1"/>
    <xf numFmtId="9" fontId="11" fillId="0" borderId="5" xfId="1" applyNumberFormat="1" applyFont="1" applyBorder="1" applyAlignment="1"/>
    <xf numFmtId="0" fontId="4" fillId="4" borderId="0" xfId="1" applyFont="1" applyFill="1" applyAlignment="1"/>
    <xf numFmtId="49" fontId="4" fillId="4" borderId="0" xfId="1" applyNumberFormat="1" applyFont="1" applyFill="1" applyAlignment="1">
      <alignment horizontal="left" vertical="top" wrapText="1"/>
    </xf>
    <xf numFmtId="167" fontId="11" fillId="4" borderId="0" xfId="1" applyNumberFormat="1" applyFont="1" applyFill="1" applyAlignment="1"/>
    <xf numFmtId="49" fontId="5" fillId="4" borderId="0" xfId="1" applyNumberFormat="1" applyFont="1" applyFill="1" applyAlignment="1"/>
    <xf numFmtId="167" fontId="11" fillId="0" borderId="5" xfId="1" applyNumberFormat="1" applyFont="1" applyBorder="1" applyAlignment="1"/>
    <xf numFmtId="168" fontId="15" fillId="3" borderId="5" xfId="1" applyNumberFormat="1" applyFont="1" applyFill="1" applyBorder="1" applyAlignment="1"/>
    <xf numFmtId="167" fontId="12" fillId="0" borderId="5" xfId="1" applyNumberFormat="1" applyFont="1" applyBorder="1" applyAlignment="1"/>
    <xf numFmtId="169" fontId="11" fillId="0" borderId="5" xfId="1" applyNumberFormat="1" applyFont="1" applyBorder="1" applyAlignment="1"/>
    <xf numFmtId="3" fontId="11" fillId="0" borderId="5" xfId="1" applyNumberFormat="1" applyFont="1" applyBorder="1" applyAlignment="1"/>
    <xf numFmtId="166" fontId="11" fillId="0" borderId="5" xfId="1" applyNumberFormat="1" applyFont="1" applyBorder="1" applyAlignment="1"/>
    <xf numFmtId="170" fontId="6" fillId="3" borderId="5" xfId="1" applyNumberFormat="1" applyFont="1" applyFill="1" applyBorder="1" applyAlignment="1"/>
    <xf numFmtId="9" fontId="11" fillId="0" borderId="10" xfId="1" applyNumberFormat="1" applyFont="1" applyBorder="1" applyAlignment="1"/>
    <xf numFmtId="49" fontId="4" fillId="0" borderId="0" xfId="1" applyNumberFormat="1" applyFont="1" applyAlignment="1">
      <alignment horizontal="left" vertical="top" wrapText="1"/>
    </xf>
    <xf numFmtId="49" fontId="9" fillId="0" borderId="0" xfId="1" applyNumberFormat="1" applyFont="1" applyAlignment="1">
      <alignment horizontal="left" vertical="top" wrapText="1"/>
    </xf>
    <xf numFmtId="164" fontId="11" fillId="0" borderId="0" xfId="1" applyNumberFormat="1" applyFont="1" applyAlignment="1"/>
    <xf numFmtId="0" fontId="3" fillId="0" borderId="0" xfId="1" applyFont="1" applyAlignment="1"/>
    <xf numFmtId="0" fontId="4" fillId="0" borderId="0" xfId="1" applyFont="1" applyAlignment="1">
      <alignment wrapText="1"/>
    </xf>
    <xf numFmtId="0" fontId="10" fillId="0" borderId="0" xfId="1" applyFont="1" applyBorder="1"/>
    <xf numFmtId="0" fontId="4" fillId="0" borderId="0" xfId="1" applyFont="1" applyAlignment="1">
      <alignment vertical="top"/>
    </xf>
    <xf numFmtId="49" fontId="5" fillId="5" borderId="5" xfId="1" applyNumberFormat="1" applyFont="1" applyFill="1" applyBorder="1" applyAlignment="1">
      <alignment horizontal="left" vertical="top" wrapText="1"/>
    </xf>
    <xf numFmtId="49" fontId="5" fillId="6" borderId="5" xfId="1" applyNumberFormat="1" applyFont="1" applyFill="1" applyBorder="1" applyAlignment="1">
      <alignment horizontal="left" vertical="top" wrapText="1"/>
    </xf>
    <xf numFmtId="0" fontId="13" fillId="6" borderId="5" xfId="1" applyFont="1" applyFill="1" applyBorder="1" applyAlignment="1">
      <alignment horizontal="left" vertical="top" wrapText="1"/>
    </xf>
    <xf numFmtId="49" fontId="5" fillId="7" borderId="5" xfId="1" applyNumberFormat="1" applyFont="1" applyFill="1" applyBorder="1" applyAlignment="1">
      <alignment horizontal="left" vertical="top" wrapText="1"/>
    </xf>
    <xf numFmtId="0" fontId="13" fillId="7" borderId="5" xfId="1" applyFont="1" applyFill="1" applyBorder="1" applyAlignment="1">
      <alignment horizontal="left" vertical="top" wrapText="1"/>
    </xf>
    <xf numFmtId="49" fontId="5" fillId="8" borderId="5" xfId="1" applyNumberFormat="1" applyFont="1" applyFill="1" applyBorder="1" applyAlignment="1">
      <alignment horizontal="left" vertical="top" wrapText="1"/>
    </xf>
    <xf numFmtId="0" fontId="13" fillId="8" borderId="0" xfId="1" applyFont="1" applyFill="1" applyAlignment="1">
      <alignment horizontal="left" vertical="top" wrapText="1"/>
    </xf>
    <xf numFmtId="49" fontId="5" fillId="9" borderId="5" xfId="1" applyNumberFormat="1" applyFont="1" applyFill="1" applyBorder="1" applyAlignment="1">
      <alignment horizontal="left" vertical="top" wrapText="1"/>
    </xf>
    <xf numFmtId="49" fontId="5" fillId="9" borderId="13" xfId="1" applyNumberFormat="1" applyFont="1" applyFill="1" applyBorder="1" applyAlignment="1">
      <alignment horizontal="left" vertical="top" wrapText="1"/>
    </xf>
    <xf numFmtId="0" fontId="9" fillId="0" borderId="0" xfId="1" applyFont="1" applyAlignment="1">
      <alignment horizontal="left" vertical="top"/>
    </xf>
    <xf numFmtId="0" fontId="4" fillId="0" borderId="0" xfId="1" applyFont="1" applyAlignment="1">
      <alignment horizontal="left" vertical="top"/>
    </xf>
    <xf numFmtId="0" fontId="4" fillId="0" borderId="5" xfId="1" applyFont="1" applyBorder="1" applyAlignment="1"/>
    <xf numFmtId="1" fontId="4" fillId="4" borderId="5" xfId="1" applyNumberFormat="1" applyFont="1" applyFill="1" applyBorder="1" applyAlignment="1"/>
    <xf numFmtId="171" fontId="4" fillId="0" borderId="5" xfId="1" applyNumberFormat="1" applyFont="1" applyBorder="1" applyAlignment="1">
      <alignment vertical="top"/>
    </xf>
    <xf numFmtId="170" fontId="9" fillId="6" borderId="5" xfId="1" applyNumberFormat="1" applyFont="1" applyFill="1" applyBorder="1"/>
    <xf numFmtId="1" fontId="9" fillId="0" borderId="5" xfId="1" applyNumberFormat="1" applyFont="1" applyFill="1" applyBorder="1"/>
    <xf numFmtId="169" fontId="4" fillId="0" borderId="5" xfId="1" applyNumberFormat="1" applyFont="1" applyBorder="1" applyAlignment="1"/>
    <xf numFmtId="170" fontId="4" fillId="4" borderId="5" xfId="1" applyNumberFormat="1" applyFont="1" applyFill="1" applyBorder="1"/>
    <xf numFmtId="170" fontId="4" fillId="0" borderId="5" xfId="1" applyNumberFormat="1" applyFont="1" applyBorder="1" applyAlignment="1"/>
    <xf numFmtId="170" fontId="9" fillId="7" borderId="5" xfId="1" applyNumberFormat="1" applyFont="1" applyFill="1" applyBorder="1"/>
    <xf numFmtId="172" fontId="4" fillId="0" borderId="5" xfId="1" applyNumberFormat="1" applyFont="1" applyBorder="1" applyAlignment="1"/>
    <xf numFmtId="170" fontId="9" fillId="8" borderId="5" xfId="1" applyNumberFormat="1" applyFont="1" applyFill="1" applyBorder="1"/>
    <xf numFmtId="170" fontId="4" fillId="5" borderId="5" xfId="1" applyNumberFormat="1" applyFont="1" applyFill="1" applyBorder="1" applyAlignment="1"/>
    <xf numFmtId="167" fontId="4" fillId="0" borderId="5" xfId="1" applyNumberFormat="1" applyFont="1" applyBorder="1" applyAlignment="1"/>
    <xf numFmtId="169" fontId="9" fillId="0" borderId="5" xfId="1" applyNumberFormat="1" applyFont="1" applyBorder="1" applyAlignment="1"/>
    <xf numFmtId="169" fontId="5" fillId="0" borderId="5" xfId="1" applyNumberFormat="1" applyFont="1" applyFill="1" applyBorder="1" applyAlignment="1"/>
    <xf numFmtId="9" fontId="9" fillId="0" borderId="0" xfId="1" applyNumberFormat="1" applyFont="1"/>
    <xf numFmtId="171" fontId="4" fillId="0" borderId="5" xfId="1" applyNumberFormat="1" applyFont="1" applyBorder="1" applyAlignment="1"/>
    <xf numFmtId="169" fontId="5" fillId="9" borderId="5" xfId="1" applyNumberFormat="1" applyFont="1" applyFill="1" applyBorder="1" applyAlignment="1"/>
    <xf numFmtId="0" fontId="4" fillId="0" borderId="10" xfId="1" applyFont="1" applyBorder="1" applyAlignment="1"/>
    <xf numFmtId="1" fontId="4" fillId="4" borderId="10" xfId="1" applyNumberFormat="1" applyFont="1" applyFill="1" applyBorder="1" applyAlignment="1"/>
    <xf numFmtId="171" fontId="4" fillId="0" borderId="10" xfId="1" applyNumberFormat="1" applyFont="1" applyBorder="1" applyAlignment="1"/>
    <xf numFmtId="170" fontId="9" fillId="6" borderId="10" xfId="1" applyNumberFormat="1" applyFont="1" applyFill="1" applyBorder="1"/>
    <xf numFmtId="1" fontId="9" fillId="0" borderId="10" xfId="1" applyNumberFormat="1" applyFont="1" applyFill="1" applyBorder="1"/>
    <xf numFmtId="169" fontId="4" fillId="0" borderId="10" xfId="1" applyNumberFormat="1" applyFont="1" applyBorder="1" applyAlignment="1"/>
    <xf numFmtId="170" fontId="4" fillId="4" borderId="10" xfId="1" applyNumberFormat="1" applyFont="1" applyFill="1" applyBorder="1"/>
    <xf numFmtId="170" fontId="4" fillId="0" borderId="10" xfId="1" applyNumberFormat="1" applyFont="1" applyBorder="1" applyAlignment="1"/>
    <xf numFmtId="172" fontId="4" fillId="0" borderId="10" xfId="1" applyNumberFormat="1" applyFont="1" applyBorder="1" applyAlignment="1"/>
    <xf numFmtId="170" fontId="9" fillId="8" borderId="10" xfId="1" applyNumberFormat="1" applyFont="1" applyFill="1" applyBorder="1"/>
    <xf numFmtId="170" fontId="4" fillId="5" borderId="10" xfId="1" applyNumberFormat="1" applyFont="1" applyFill="1" applyBorder="1" applyAlignment="1"/>
    <xf numFmtId="169" fontId="9" fillId="0" borderId="10" xfId="1" applyNumberFormat="1" applyFont="1" applyBorder="1" applyAlignment="1"/>
    <xf numFmtId="0" fontId="4" fillId="0" borderId="11" xfId="1" applyFont="1" applyBorder="1" applyAlignment="1"/>
    <xf numFmtId="9" fontId="9" fillId="0" borderId="0" xfId="1" applyNumberFormat="1" applyFont="1" applyBorder="1"/>
    <xf numFmtId="0" fontId="9" fillId="0" borderId="0" xfId="1" applyFont="1" applyBorder="1"/>
    <xf numFmtId="0" fontId="4" fillId="0" borderId="0" xfId="1" applyFont="1" applyBorder="1" applyAlignment="1"/>
    <xf numFmtId="0" fontId="5" fillId="0" borderId="8" xfId="1" applyFont="1" applyBorder="1" applyAlignment="1">
      <alignment horizontal="right"/>
    </xf>
    <xf numFmtId="1" fontId="5" fillId="0" borderId="8" xfId="1" applyNumberFormat="1" applyFont="1" applyBorder="1" applyAlignment="1"/>
    <xf numFmtId="0" fontId="9" fillId="0" borderId="8" xfId="1" applyFont="1" applyBorder="1"/>
    <xf numFmtId="169" fontId="13" fillId="0" borderId="8" xfId="1" applyNumberFormat="1" applyFont="1" applyBorder="1"/>
    <xf numFmtId="173" fontId="5" fillId="0" borderId="8" xfId="1" applyNumberFormat="1" applyFont="1" applyBorder="1" applyAlignment="1"/>
    <xf numFmtId="170" fontId="13" fillId="0" borderId="8" xfId="1" applyNumberFormat="1" applyFont="1" applyBorder="1"/>
    <xf numFmtId="170" fontId="5" fillId="0" borderId="8" xfId="1" applyNumberFormat="1" applyFont="1" applyBorder="1" applyAlignment="1"/>
    <xf numFmtId="167" fontId="4" fillId="0" borderId="8" xfId="1" applyNumberFormat="1" applyFont="1" applyBorder="1" applyAlignment="1"/>
    <xf numFmtId="0" fontId="4" fillId="0" borderId="8" xfId="1" applyFont="1" applyBorder="1" applyAlignment="1"/>
    <xf numFmtId="168" fontId="4" fillId="0" borderId="8" xfId="1" applyNumberFormat="1" applyFont="1" applyBorder="1" applyAlignment="1"/>
    <xf numFmtId="0" fontId="5" fillId="0" borderId="0" xfId="1" applyFont="1" applyBorder="1" applyAlignment="1"/>
    <xf numFmtId="1" fontId="4" fillId="0" borderId="0" xfId="1" applyNumberFormat="1" applyFont="1" applyAlignment="1"/>
    <xf numFmtId="0" fontId="5" fillId="0" borderId="0" xfId="1" applyFont="1" applyAlignment="1"/>
    <xf numFmtId="6" fontId="13" fillId="2" borderId="17" xfId="1" applyNumberFormat="1" applyFont="1" applyFill="1" applyBorder="1" applyAlignment="1"/>
    <xf numFmtId="166" fontId="13" fillId="0" borderId="0" xfId="1" applyNumberFormat="1" applyFont="1" applyAlignment="1"/>
    <xf numFmtId="1" fontId="5" fillId="2" borderId="18" xfId="1" applyNumberFormat="1" applyFont="1" applyFill="1" applyBorder="1" applyAlignment="1"/>
    <xf numFmtId="166" fontId="13" fillId="10" borderId="11" xfId="1" applyNumberFormat="1" applyFont="1" applyFill="1" applyBorder="1" applyAlignment="1"/>
    <xf numFmtId="166" fontId="11" fillId="4" borderId="0" xfId="1" applyNumberFormat="1" applyFont="1" applyFill="1" applyBorder="1" applyAlignment="1"/>
    <xf numFmtId="49" fontId="4" fillId="4" borderId="0" xfId="1" applyNumberFormat="1" applyFont="1" applyFill="1" applyBorder="1" applyAlignment="1">
      <alignment horizontal="left" vertical="top"/>
    </xf>
    <xf numFmtId="1" fontId="5" fillId="4" borderId="0" xfId="1" applyNumberFormat="1" applyFont="1" applyFill="1" applyBorder="1" applyAlignment="1"/>
    <xf numFmtId="166" fontId="13" fillId="4" borderId="0" xfId="1" applyNumberFormat="1" applyFont="1" applyFill="1" applyBorder="1" applyAlignment="1"/>
    <xf numFmtId="174" fontId="5" fillId="4" borderId="5" xfId="1" applyNumberFormat="1" applyFont="1" applyFill="1" applyBorder="1" applyAlignment="1"/>
    <xf numFmtId="0" fontId="4" fillId="4" borderId="0" xfId="1" applyFont="1" applyFill="1" applyBorder="1" applyAlignment="1"/>
    <xf numFmtId="164" fontId="5" fillId="4" borderId="5" xfId="1" applyNumberFormat="1" applyFont="1" applyFill="1" applyBorder="1" applyAlignment="1"/>
    <xf numFmtId="166" fontId="9" fillId="4" borderId="0" xfId="1" applyNumberFormat="1" applyFont="1" applyFill="1" applyBorder="1" applyAlignment="1"/>
    <xf numFmtId="0" fontId="1" fillId="0" borderId="0" xfId="1" applyFont="1"/>
    <xf numFmtId="0" fontId="2" fillId="0" borderId="0" xfId="1"/>
    <xf numFmtId="0" fontId="17" fillId="0" borderId="11" xfId="1" applyFont="1" applyBorder="1"/>
    <xf numFmtId="0" fontId="18" fillId="0" borderId="0" xfId="2"/>
    <xf numFmtId="1" fontId="2" fillId="0" borderId="11" xfId="1" applyNumberFormat="1" applyBorder="1"/>
    <xf numFmtId="0" fontId="5" fillId="0" borderId="19" xfId="1" applyFont="1" applyBorder="1" applyAlignment="1"/>
    <xf numFmtId="0" fontId="11" fillId="0" borderId="5" xfId="1" applyFont="1" applyBorder="1" applyAlignment="1"/>
    <xf numFmtId="0" fontId="5" fillId="0" borderId="5" xfId="1" applyFont="1" applyBorder="1" applyAlignment="1"/>
    <xf numFmtId="0" fontId="5" fillId="0" borderId="5" xfId="1" applyFont="1" applyBorder="1" applyAlignment="1">
      <alignment horizontal="center" vertical="top" wrapText="1"/>
    </xf>
    <xf numFmtId="0" fontId="5" fillId="0" borderId="12" xfId="1" applyFont="1" applyBorder="1" applyAlignment="1">
      <alignment horizontal="center" vertical="top" wrapText="1"/>
    </xf>
    <xf numFmtId="0" fontId="4" fillId="0" borderId="6" xfId="1" applyFont="1" applyBorder="1" applyAlignment="1">
      <alignment horizontal="right"/>
    </xf>
    <xf numFmtId="1" fontId="11" fillId="0" borderId="5" xfId="1" applyNumberFormat="1" applyFont="1" applyBorder="1" applyAlignment="1"/>
    <xf numFmtId="2" fontId="11" fillId="0" borderId="5" xfId="1" applyNumberFormat="1" applyFont="1" applyBorder="1" applyAlignment="1"/>
    <xf numFmtId="1" fontId="9" fillId="0" borderId="12" xfId="1" applyNumberFormat="1" applyFont="1" applyBorder="1" applyAlignment="1"/>
    <xf numFmtId="1" fontId="4" fillId="0" borderId="5" xfId="1" applyNumberFormat="1" applyFont="1" applyBorder="1" applyAlignment="1"/>
    <xf numFmtId="0" fontId="5" fillId="0" borderId="6" xfId="1" applyFont="1" applyBorder="1" applyAlignment="1">
      <alignment horizontal="right"/>
    </xf>
    <xf numFmtId="1" fontId="5" fillId="0" borderId="12" xfId="1" applyNumberFormat="1" applyFont="1" applyBorder="1" applyAlignment="1"/>
    <xf numFmtId="1" fontId="13" fillId="0" borderId="5" xfId="1" applyNumberFormat="1" applyFont="1" applyBorder="1" applyAlignment="1"/>
    <xf numFmtId="1" fontId="5" fillId="0" borderId="5" xfId="1" applyNumberFormat="1" applyFont="1" applyBorder="1" applyAlignment="1"/>
    <xf numFmtId="173" fontId="5" fillId="0" borderId="5" xfId="1" applyNumberFormat="1" applyFont="1" applyBorder="1" applyAlignment="1"/>
    <xf numFmtId="0" fontId="5" fillId="0" borderId="0" xfId="1" applyFont="1" applyAlignment="1">
      <alignment horizontal="right"/>
    </xf>
    <xf numFmtId="0" fontId="13" fillId="0" borderId="0" xfId="1" applyFont="1" applyAlignment="1">
      <alignment horizontal="right"/>
    </xf>
    <xf numFmtId="164" fontId="9" fillId="0" borderId="0" xfId="1" applyNumberFormat="1" applyFont="1" applyAlignment="1"/>
    <xf numFmtId="1" fontId="9" fillId="0" borderId="0" xfId="1" applyNumberFormat="1" applyFont="1" applyAlignment="1"/>
    <xf numFmtId="2" fontId="4" fillId="0" borderId="0" xfId="1" applyNumberFormat="1" applyFont="1" applyAlignment="1"/>
    <xf numFmtId="1" fontId="9" fillId="3" borderId="5" xfId="1" applyNumberFormat="1" applyFont="1" applyFill="1" applyBorder="1" applyAlignment="1"/>
    <xf numFmtId="9" fontId="9" fillId="3" borderId="5" xfId="1" applyNumberFormat="1" applyFont="1" applyFill="1" applyBorder="1" applyAlignment="1"/>
    <xf numFmtId="49" fontId="4" fillId="3" borderId="12" xfId="1" applyNumberFormat="1" applyFont="1" applyFill="1" applyBorder="1" applyAlignment="1">
      <alignment horizontal="left" vertical="top" wrapText="1"/>
    </xf>
    <xf numFmtId="0" fontId="10" fillId="0" borderId="3" xfId="1" applyFont="1" applyBorder="1"/>
    <xf numFmtId="0" fontId="10" fillId="0" borderId="4" xfId="1" applyFont="1" applyBorder="1"/>
    <xf numFmtId="49" fontId="4" fillId="4" borderId="12" xfId="1" applyNumberFormat="1" applyFont="1" applyFill="1" applyBorder="1" applyAlignment="1">
      <alignment horizontal="left" vertical="top" wrapText="1"/>
    </xf>
    <xf numFmtId="0" fontId="2" fillId="0" borderId="11" xfId="1" applyBorder="1"/>
    <xf numFmtId="49" fontId="4" fillId="0" borderId="12" xfId="1" applyNumberFormat="1" applyFont="1" applyBorder="1" applyAlignment="1">
      <alignment horizontal="left" vertical="top" wrapText="1"/>
    </xf>
    <xf numFmtId="49" fontId="4" fillId="0" borderId="12" xfId="1" applyNumberFormat="1" applyFont="1" applyBorder="1" applyAlignment="1">
      <alignment horizontal="left" vertical="top"/>
    </xf>
    <xf numFmtId="49" fontId="5" fillId="8" borderId="3" xfId="1" applyNumberFormat="1" applyFont="1" applyFill="1" applyBorder="1" applyAlignment="1">
      <alignment vertical="top" wrapText="1"/>
    </xf>
    <xf numFmtId="49" fontId="5" fillId="8" borderId="4" xfId="1" applyNumberFormat="1" applyFont="1" applyFill="1" applyBorder="1" applyAlignment="1">
      <alignment vertical="top" wrapText="1"/>
    </xf>
    <xf numFmtId="49" fontId="5" fillId="9" borderId="11" xfId="1" applyNumberFormat="1" applyFont="1" applyFill="1" applyBorder="1" applyAlignment="1">
      <alignment horizontal="left" vertical="top" wrapText="1"/>
    </xf>
    <xf numFmtId="49" fontId="4" fillId="2" borderId="14" xfId="1" applyNumberFormat="1" applyFont="1" applyFill="1" applyBorder="1" applyAlignment="1">
      <alignment horizontal="left" vertical="top" wrapText="1"/>
    </xf>
    <xf numFmtId="0" fontId="10" fillId="0" borderId="15" xfId="1" applyFont="1" applyBorder="1"/>
    <xf numFmtId="0" fontId="10" fillId="0" borderId="16" xfId="1" applyFont="1" applyBorder="1"/>
    <xf numFmtId="49" fontId="4" fillId="2" borderId="7" xfId="1" applyNumberFormat="1" applyFont="1" applyFill="1" applyBorder="1" applyAlignment="1">
      <alignment horizontal="left" vertical="top"/>
    </xf>
    <xf numFmtId="0" fontId="10" fillId="0" borderId="8" xfId="1" applyFont="1" applyBorder="1"/>
    <xf numFmtId="0" fontId="10" fillId="0" borderId="9" xfId="1" applyFont="1" applyBorder="1"/>
    <xf numFmtId="49" fontId="4" fillId="2" borderId="11" xfId="1" applyNumberFormat="1" applyFont="1" applyFill="1" applyBorder="1" applyAlignment="1">
      <alignment horizontal="left" vertical="top"/>
    </xf>
    <xf numFmtId="0" fontId="4" fillId="4" borderId="12" xfId="1" applyFont="1" applyFill="1" applyBorder="1" applyAlignment="1">
      <alignment horizontal="left" wrapText="1"/>
    </xf>
    <xf numFmtId="49" fontId="6" fillId="3" borderId="6" xfId="1" applyNumberFormat="1" applyFont="1" applyFill="1" applyBorder="1" applyAlignment="1">
      <alignment horizontal="left" vertical="top" wrapText="1"/>
    </xf>
    <xf numFmtId="49" fontId="4" fillId="0" borderId="6" xfId="1" applyNumberFormat="1" applyFont="1" applyBorder="1" applyAlignment="1">
      <alignment horizontal="left" vertical="top"/>
    </xf>
    <xf numFmtId="49" fontId="4" fillId="0" borderId="7" xfId="1" applyNumberFormat="1" applyFont="1" applyBorder="1" applyAlignment="1">
      <alignment horizontal="left" vertical="top" wrapText="1"/>
    </xf>
    <xf numFmtId="49" fontId="5" fillId="5" borderId="12" xfId="1" applyNumberFormat="1" applyFont="1" applyFill="1" applyBorder="1" applyAlignment="1">
      <alignment horizontal="left" vertical="top" wrapText="1"/>
    </xf>
    <xf numFmtId="49" fontId="5" fillId="6" borderId="12" xfId="1" applyNumberFormat="1" applyFont="1" applyFill="1" applyBorder="1" applyAlignment="1">
      <alignment horizontal="left" vertical="top" wrapText="1"/>
    </xf>
    <xf numFmtId="49" fontId="5" fillId="7" borderId="12" xfId="1" applyNumberFormat="1" applyFont="1" applyFill="1" applyBorder="1" applyAlignment="1">
      <alignment vertical="top" wrapText="1"/>
    </xf>
    <xf numFmtId="49" fontId="5" fillId="7" borderId="3" xfId="1" applyNumberFormat="1" applyFont="1" applyFill="1" applyBorder="1" applyAlignment="1">
      <alignment vertical="top" wrapText="1"/>
    </xf>
    <xf numFmtId="49" fontId="6" fillId="3" borderId="12" xfId="1" applyNumberFormat="1" applyFont="1" applyFill="1" applyBorder="1" applyAlignment="1">
      <alignment horizontal="left" vertical="top" wrapText="1"/>
    </xf>
    <xf numFmtId="49" fontId="4" fillId="0" borderId="6" xfId="1" applyNumberFormat="1" applyFont="1" applyBorder="1" applyAlignment="1">
      <alignment horizontal="left" vertical="top" wrapText="1"/>
    </xf>
    <xf numFmtId="49" fontId="6" fillId="3" borderId="12" xfId="1" applyNumberFormat="1" applyFont="1" applyFill="1" applyBorder="1" applyAlignment="1">
      <alignment horizontal="left" vertical="top"/>
    </xf>
    <xf numFmtId="0" fontId="5" fillId="2" borderId="0" xfId="1" applyFont="1" applyFill="1" applyAlignment="1">
      <alignment wrapText="1"/>
    </xf>
    <xf numFmtId="0" fontId="2" fillId="0" borderId="0" xfId="1" applyFont="1" applyAlignment="1"/>
    <xf numFmtId="49" fontId="5" fillId="0" borderId="0" xfId="1" applyNumberFormat="1" applyFont="1" applyAlignment="1">
      <alignment horizontal="left" vertical="top"/>
    </xf>
    <xf numFmtId="0" fontId="4" fillId="0" borderId="3" xfId="1" applyFont="1" applyBorder="1" applyAlignment="1">
      <alignment horizontal="left" vertical="top" wrapText="1"/>
    </xf>
    <xf numFmtId="0" fontId="9" fillId="0" borderId="11" xfId="1" applyFont="1" applyBorder="1" applyAlignment="1"/>
    <xf numFmtId="170" fontId="4" fillId="11" borderId="5" xfId="1" applyNumberFormat="1" applyFont="1" applyFill="1" applyBorder="1" applyAlignment="1"/>
    <xf numFmtId="170" fontId="9" fillId="12" borderId="5" xfId="1" applyNumberFormat="1" applyFont="1" applyFill="1" applyBorder="1"/>
    <xf numFmtId="170" fontId="9" fillId="13" borderId="5" xfId="1" applyNumberFormat="1" applyFont="1" applyFill="1" applyBorder="1"/>
  </cellXfs>
  <cellStyles count="3">
    <cellStyle name="Hyperlinkki 2" xfId="2" xr:uid="{D977190A-D084-462B-BF93-77ACE103A953}"/>
    <cellStyle name="Normaali" xfId="0" builtinId="0"/>
    <cellStyle name="Normaali 4" xfId="1" xr:uid="{06C1E316-2321-4340-BDF4-747367271F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solidFill>
                  <a:schemeClr val="accent1"/>
                </a:solidFill>
              </a:rPr>
              <a:t>Kulutus</a:t>
            </a:r>
            <a:r>
              <a:rPr lang="fi-FI" baseline="0"/>
              <a:t> vs Tuotanto</a:t>
            </a:r>
            <a:endParaRPr lang="fi-FI"/>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barChart>
        <c:barDir val="col"/>
        <c:grouping val="clustered"/>
        <c:varyColors val="0"/>
        <c:ser>
          <c:idx val="0"/>
          <c:order val="0"/>
          <c:tx>
            <c:strRef>
              <c:f>'PV kannattavuus ja mitoitus'!$C$101</c:f>
              <c:strCache>
                <c:ptCount val="1"/>
                <c:pt idx="0">
                  <c:v>Kiinteistön kuukausikohtainen sähkönkulutus kWh/kk</c:v>
                </c:pt>
              </c:strCache>
            </c:strRef>
          </c:tx>
          <c:spPr>
            <a:solidFill>
              <a:schemeClr val="accent1"/>
            </a:solidFill>
            <a:ln>
              <a:noFill/>
            </a:ln>
            <a:effectLst/>
          </c:spPr>
          <c:invertIfNegative val="0"/>
          <c:val>
            <c:numRef>
              <c:f>'PV kannattavuus ja mitoitus'!$C$102:$C$113</c:f>
              <c:numCache>
                <c:formatCode>0</c:formatCode>
                <c:ptCount val="12"/>
                <c:pt idx="0">
                  <c:v>7479</c:v>
                </c:pt>
                <c:pt idx="1">
                  <c:v>7479</c:v>
                </c:pt>
                <c:pt idx="2">
                  <c:v>6980.4000000000005</c:v>
                </c:pt>
                <c:pt idx="3">
                  <c:v>6980.4000000000005</c:v>
                </c:pt>
                <c:pt idx="4">
                  <c:v>6564.9</c:v>
                </c:pt>
                <c:pt idx="5">
                  <c:v>5817.0000000000009</c:v>
                </c:pt>
                <c:pt idx="6">
                  <c:v>5817.0000000000009</c:v>
                </c:pt>
                <c:pt idx="7">
                  <c:v>6564.9</c:v>
                </c:pt>
                <c:pt idx="8">
                  <c:v>6980.4000000000005</c:v>
                </c:pt>
                <c:pt idx="9">
                  <c:v>7479</c:v>
                </c:pt>
                <c:pt idx="10">
                  <c:v>7479</c:v>
                </c:pt>
                <c:pt idx="11">
                  <c:v>7479</c:v>
                </c:pt>
              </c:numCache>
            </c:numRef>
          </c:val>
          <c:extLst>
            <c:ext xmlns:c16="http://schemas.microsoft.com/office/drawing/2014/chart" uri="{C3380CC4-5D6E-409C-BE32-E72D297353CC}">
              <c16:uniqueId val="{00000000-1B16-4B02-94B1-03471B548012}"/>
            </c:ext>
          </c:extLst>
        </c:ser>
        <c:ser>
          <c:idx val="4"/>
          <c:order val="4"/>
          <c:tx>
            <c:strRef>
              <c:f>'PV kannattavuus ja mitoitus'!$G$101</c:f>
              <c:strCache>
                <c:ptCount val="1"/>
                <c:pt idx="0">
                  <c:v>Aurinkosähkön tuotanto kWh/kk</c:v>
                </c:pt>
              </c:strCache>
            </c:strRef>
          </c:tx>
          <c:spPr>
            <a:solidFill>
              <a:schemeClr val="accent3">
                <a:lumMod val="60000"/>
              </a:schemeClr>
            </a:solidFill>
            <a:ln>
              <a:noFill/>
            </a:ln>
            <a:effectLst/>
          </c:spPr>
          <c:invertIfNegative val="0"/>
          <c:val>
            <c:numRef>
              <c:f>'PV kannattavuus ja mitoitus'!$G$102:$G$113</c:f>
              <c:numCache>
                <c:formatCode>0</c:formatCode>
                <c:ptCount val="12"/>
                <c:pt idx="0">
                  <c:v>175.38559999999998</c:v>
                </c:pt>
                <c:pt idx="1">
                  <c:v>544.5440000000001</c:v>
                </c:pt>
                <c:pt idx="2">
                  <c:v>1337.3152000000002</c:v>
                </c:pt>
                <c:pt idx="3">
                  <c:v>2100.384</c:v>
                </c:pt>
                <c:pt idx="4">
                  <c:v>2965.1128000000003</c:v>
                </c:pt>
                <c:pt idx="5">
                  <c:v>2986.1520000000005</c:v>
                </c:pt>
                <c:pt idx="6">
                  <c:v>3069.248</c:v>
                </c:pt>
                <c:pt idx="7">
                  <c:v>2241.6471999999999</c:v>
                </c:pt>
                <c:pt idx="8">
                  <c:v>1347.2160000000001</c:v>
                </c:pt>
                <c:pt idx="9">
                  <c:v>646.73440000000005</c:v>
                </c:pt>
                <c:pt idx="10">
                  <c:v>265.2</c:v>
                </c:pt>
                <c:pt idx="11">
                  <c:v>109.61600000000001</c:v>
                </c:pt>
              </c:numCache>
            </c:numRef>
          </c:val>
          <c:extLst>
            <c:ext xmlns:c16="http://schemas.microsoft.com/office/drawing/2014/chart" uri="{C3380CC4-5D6E-409C-BE32-E72D297353CC}">
              <c16:uniqueId val="{00000001-1B16-4B02-94B1-03471B548012}"/>
            </c:ext>
          </c:extLst>
        </c:ser>
        <c:dLbls>
          <c:showLegendKey val="0"/>
          <c:showVal val="0"/>
          <c:showCatName val="0"/>
          <c:showSerName val="0"/>
          <c:showPercent val="0"/>
          <c:showBubbleSize val="0"/>
        </c:dLbls>
        <c:gapWidth val="219"/>
        <c:overlap val="-27"/>
        <c:axId val="1809982607"/>
        <c:axId val="163268895"/>
        <c:extLst>
          <c:ext xmlns:c15="http://schemas.microsoft.com/office/drawing/2012/chart" uri="{02D57815-91ED-43cb-92C2-25804820EDAC}">
            <c15:filteredBarSeries>
              <c15:ser>
                <c:idx val="1"/>
                <c:order val="1"/>
                <c:tx>
                  <c:strRef>
                    <c:extLst>
                      <c:ext uri="{02D57815-91ED-43cb-92C2-25804820EDAC}">
                        <c15:formulaRef>
                          <c15:sqref>'PV kannattavuus ja mitoitus'!$D$101</c15:sqref>
                        </c15:formulaRef>
                      </c:ext>
                    </c:extLst>
                    <c:strCache>
                      <c:ptCount val="1"/>
                      <c:pt idx="0">
                        <c:v>Auringon säteily kWh/m2/pv sijainnin mukaan</c:v>
                      </c:pt>
                    </c:strCache>
                  </c:strRef>
                </c:tx>
                <c:spPr>
                  <a:solidFill>
                    <a:schemeClr val="accent3"/>
                  </a:solidFill>
                  <a:ln>
                    <a:noFill/>
                  </a:ln>
                  <a:effectLst/>
                </c:spPr>
                <c:invertIfNegative val="0"/>
                <c:val>
                  <c:numRef>
                    <c:extLst>
                      <c:ext uri="{02D57815-91ED-43cb-92C2-25804820EDAC}">
                        <c15:formulaRef>
                          <c15:sqref>'PV kannattavuus ja mitoitus'!$D$102:$D$113</c15:sqref>
                        </c15:formulaRef>
                      </c:ext>
                    </c:extLst>
                    <c:numCache>
                      <c:formatCode>0.00</c:formatCode>
                      <c:ptCount val="12"/>
                      <c:pt idx="0">
                        <c:v>0.32</c:v>
                      </c:pt>
                      <c:pt idx="1">
                        <c:v>1.1000000000000001</c:v>
                      </c:pt>
                      <c:pt idx="2">
                        <c:v>2.44</c:v>
                      </c:pt>
                      <c:pt idx="3">
                        <c:v>3.96</c:v>
                      </c:pt>
                      <c:pt idx="4">
                        <c:v>5.41</c:v>
                      </c:pt>
                      <c:pt idx="5">
                        <c:v>5.63</c:v>
                      </c:pt>
                      <c:pt idx="6">
                        <c:v>5.6</c:v>
                      </c:pt>
                      <c:pt idx="7">
                        <c:v>4.09</c:v>
                      </c:pt>
                      <c:pt idx="8">
                        <c:v>2.54</c:v>
                      </c:pt>
                      <c:pt idx="9">
                        <c:v>1.18</c:v>
                      </c:pt>
                      <c:pt idx="10">
                        <c:v>0.5</c:v>
                      </c:pt>
                      <c:pt idx="11">
                        <c:v>0.2</c:v>
                      </c:pt>
                    </c:numCache>
                  </c:numRef>
                </c:val>
                <c:extLst>
                  <c:ext xmlns:c16="http://schemas.microsoft.com/office/drawing/2014/chart" uri="{C3380CC4-5D6E-409C-BE32-E72D297353CC}">
                    <c16:uniqueId val="{00000002-1B16-4B02-94B1-03471B54801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'PV kannattavuus ja mitoitus'!$E$101</c15:sqref>
                        </c15:formulaRef>
                      </c:ext>
                    </c:extLst>
                    <c:strCache>
                      <c:ptCount val="1"/>
                      <c:pt idx="0">
                        <c:v> Sähkön ostohinta €/MWh/kk</c:v>
                      </c:pt>
                    </c:strCache>
                  </c:strRef>
                </c:tx>
                <c:spPr>
                  <a:solidFill>
                    <a:schemeClr val="accent5"/>
                  </a:solidFill>
                  <a:ln>
                    <a:noFill/>
                  </a:ln>
                  <a:effectLst/>
                </c:spPr>
                <c:invertIfNegative val="0"/>
                <c:val>
                  <c:numRef>
                    <c:extLst xmlns:c15="http://schemas.microsoft.com/office/drawing/2012/chart">
                      <c:ext xmlns:c15="http://schemas.microsoft.com/office/drawing/2012/chart" uri="{02D57815-91ED-43cb-92C2-25804820EDAC}">
                        <c15:formulaRef>
                          <c15:sqref>'PV kannattavuus ja mitoitus'!$E$102:$E$113</c15:sqref>
                        </c15:formulaRef>
                      </c:ext>
                    </c:extLst>
                    <c:numCache>
                      <c:formatCode>0.0</c:formatCode>
                      <c:ptCount val="12"/>
                      <c:pt idx="0">
                        <c:v>87.53</c:v>
                      </c:pt>
                      <c:pt idx="1">
                        <c:v>87.53</c:v>
                      </c:pt>
                      <c:pt idx="2">
                        <c:v>87.53</c:v>
                      </c:pt>
                      <c:pt idx="3">
                        <c:v>87.53</c:v>
                      </c:pt>
                      <c:pt idx="4">
                        <c:v>87.53</c:v>
                      </c:pt>
                      <c:pt idx="5">
                        <c:v>87.53</c:v>
                      </c:pt>
                      <c:pt idx="6">
                        <c:v>87.53</c:v>
                      </c:pt>
                      <c:pt idx="7">
                        <c:v>87.53</c:v>
                      </c:pt>
                      <c:pt idx="8">
                        <c:v>87.53</c:v>
                      </c:pt>
                      <c:pt idx="9">
                        <c:v>87.53</c:v>
                      </c:pt>
                      <c:pt idx="10">
                        <c:v>87.53</c:v>
                      </c:pt>
                      <c:pt idx="11">
                        <c:v>87.53</c:v>
                      </c:pt>
                    </c:numCache>
                  </c:numRef>
                </c:val>
                <c:extLst xmlns:c15="http://schemas.microsoft.com/office/drawing/2012/chart">
                  <c:ext xmlns:c16="http://schemas.microsoft.com/office/drawing/2014/chart" uri="{C3380CC4-5D6E-409C-BE32-E72D297353CC}">
                    <c16:uniqueId val="{00000003-1B16-4B02-94B1-03471B548012}"/>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'PV kannattavuus ja mitoitus'!$F$101</c15:sqref>
                        </c15:formulaRef>
                      </c:ext>
                    </c:extLst>
                    <c:strCache>
                      <c:ptCount val="1"/>
                      <c:pt idx="0">
                        <c:v>Aurinkosähkön ylijäämän myyntihinta €/MWh/kk</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'PV kannattavuus ja mitoitus'!$F$102:$F$113</c15:sqref>
                        </c15:formulaRef>
                      </c:ext>
                    </c:extLst>
                    <c:numCache>
                      <c:formatCode>0.0</c:formatCode>
                      <c:ptCount val="12"/>
                      <c:pt idx="0">
                        <c:v>20</c:v>
                      </c:pt>
                      <c:pt idx="1">
                        <c:v>20</c:v>
                      </c:pt>
                      <c:pt idx="2">
                        <c:v>20</c:v>
                      </c:pt>
                      <c:pt idx="3">
                        <c:v>20</c:v>
                      </c:pt>
                      <c:pt idx="4">
                        <c:v>20</c:v>
                      </c:pt>
                      <c:pt idx="5">
                        <c:v>20</c:v>
                      </c:pt>
                      <c:pt idx="6">
                        <c:v>20</c:v>
                      </c:pt>
                      <c:pt idx="7">
                        <c:v>20</c:v>
                      </c:pt>
                      <c:pt idx="8">
                        <c:v>20</c:v>
                      </c:pt>
                      <c:pt idx="9">
                        <c:v>20</c:v>
                      </c:pt>
                      <c:pt idx="10">
                        <c:v>20</c:v>
                      </c:pt>
                      <c:pt idx="11">
                        <c:v>20</c:v>
                      </c:pt>
                    </c:numCache>
                  </c:numRef>
                </c:val>
                <c:extLst xmlns:c15="http://schemas.microsoft.com/office/drawing/2012/chart">
                  <c:ext xmlns:c16="http://schemas.microsoft.com/office/drawing/2014/chart" uri="{C3380CC4-5D6E-409C-BE32-E72D297353CC}">
                    <c16:uniqueId val="{00000004-1B16-4B02-94B1-03471B548012}"/>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'PV kannattavuus ja mitoitus'!$H$101</c15:sqref>
                        </c15:formulaRef>
                      </c:ext>
                    </c:extLst>
                    <c:strCache>
                      <c:ptCount val="1"/>
                      <c:pt idx="0">
                        <c:v>Aurinkosähköä omaan käyttöön kWh</c:v>
                      </c:pt>
                    </c:strCache>
                  </c:strRef>
                </c:tx>
                <c:spPr>
                  <a:solidFill>
                    <a:schemeClr val="accent5">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'PV kannattavuus ja mitoitus'!$H$102:$H$113</c15:sqref>
                        </c15:formulaRef>
                      </c:ext>
                    </c:extLst>
                    <c:numCache>
                      <c:formatCode>0</c:formatCode>
                      <c:ptCount val="12"/>
                      <c:pt idx="0">
                        <c:v>175.38559999999998</c:v>
                      </c:pt>
                      <c:pt idx="1">
                        <c:v>544.5440000000001</c:v>
                      </c:pt>
                      <c:pt idx="2">
                        <c:v>1337.3152000000002</c:v>
                      </c:pt>
                      <c:pt idx="3">
                        <c:v>2100.384</c:v>
                      </c:pt>
                      <c:pt idx="4">
                        <c:v>2625.96</c:v>
                      </c:pt>
                      <c:pt idx="5">
                        <c:v>2326.8000000000006</c:v>
                      </c:pt>
                      <c:pt idx="6">
                        <c:v>2326.8000000000006</c:v>
                      </c:pt>
                      <c:pt idx="7">
                        <c:v>2241.6471999999999</c:v>
                      </c:pt>
                      <c:pt idx="8">
                        <c:v>1347.2160000000001</c:v>
                      </c:pt>
                      <c:pt idx="9">
                        <c:v>646.73440000000005</c:v>
                      </c:pt>
                      <c:pt idx="10">
                        <c:v>265.2</c:v>
                      </c:pt>
                      <c:pt idx="11">
                        <c:v>109.61600000000001</c:v>
                      </c:pt>
                    </c:numCache>
                  </c:numRef>
                </c:val>
                <c:extLst xmlns:c15="http://schemas.microsoft.com/office/drawing/2012/chart">
                  <c:ext xmlns:c16="http://schemas.microsoft.com/office/drawing/2014/chart" uri="{C3380CC4-5D6E-409C-BE32-E72D297353CC}">
                    <c16:uniqueId val="{00000005-1B16-4B02-94B1-03471B548012}"/>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'PV kannattavuus ja mitoitus'!$I$101</c15:sqref>
                        </c15:formulaRef>
                      </c:ext>
                    </c:extLst>
                    <c:strCache>
                      <c:ptCount val="1"/>
                      <c:pt idx="0">
                        <c:v>Aurinkosähköä myyntiin kWh</c:v>
                      </c:pt>
                    </c:strCache>
                  </c:strRef>
                </c:tx>
                <c:spPr>
                  <a:solidFill>
                    <a:schemeClr val="accent1">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'PV kannattavuus ja mitoitus'!$I$102:$I$113</c15:sqref>
                        </c15:formulaRef>
                      </c:ext>
                    </c:extLst>
                    <c:numCache>
                      <c:formatCode>0</c:formatCode>
                      <c:ptCount val="12"/>
                      <c:pt idx="0">
                        <c:v>0</c:v>
                      </c:pt>
                      <c:pt idx="1">
                        <c:v>0</c:v>
                      </c:pt>
                      <c:pt idx="2">
                        <c:v>0</c:v>
                      </c:pt>
                      <c:pt idx="3">
                        <c:v>0</c:v>
                      </c:pt>
                      <c:pt idx="4">
                        <c:v>339.1528000000003</c:v>
                      </c:pt>
                      <c:pt idx="5">
                        <c:v>659.35199999999986</c:v>
                      </c:pt>
                      <c:pt idx="6">
                        <c:v>742.44799999999941</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6-1B16-4B02-94B1-03471B548012}"/>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'PV kannattavuus ja mitoitus'!$J$101</c15:sqref>
                        </c15:formulaRef>
                      </c:ext>
                    </c:extLst>
                    <c:strCache>
                      <c:ptCount val="1"/>
                      <c:pt idx="0">
                        <c:v>Sähkön ostotarve kWh</c:v>
                      </c:pt>
                    </c:strCache>
                  </c:strRef>
                </c:tx>
                <c:spPr>
                  <a:solidFill>
                    <a:schemeClr val="accent3">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'PV kannattavuus ja mitoitus'!$J$102:$J$113</c15:sqref>
                        </c15:formulaRef>
                      </c:ext>
                    </c:extLst>
                    <c:numCache>
                      <c:formatCode>0</c:formatCode>
                      <c:ptCount val="12"/>
                      <c:pt idx="0">
                        <c:v>7303.6144000000004</c:v>
                      </c:pt>
                      <c:pt idx="1">
                        <c:v>6934.4560000000001</c:v>
                      </c:pt>
                      <c:pt idx="2">
                        <c:v>5643.0848000000005</c:v>
                      </c:pt>
                      <c:pt idx="3">
                        <c:v>4880.0160000000005</c:v>
                      </c:pt>
                      <c:pt idx="4">
                        <c:v>3938.9399999999996</c:v>
                      </c:pt>
                      <c:pt idx="5">
                        <c:v>3490.2000000000003</c:v>
                      </c:pt>
                      <c:pt idx="6">
                        <c:v>3490.2000000000003</c:v>
                      </c:pt>
                      <c:pt idx="7">
                        <c:v>4323.2528000000002</c:v>
                      </c:pt>
                      <c:pt idx="8">
                        <c:v>5633.1840000000002</c:v>
                      </c:pt>
                      <c:pt idx="9">
                        <c:v>6832.2655999999997</c:v>
                      </c:pt>
                      <c:pt idx="10">
                        <c:v>7213.8</c:v>
                      </c:pt>
                      <c:pt idx="11">
                        <c:v>7369.384</c:v>
                      </c:pt>
                    </c:numCache>
                  </c:numRef>
                </c:val>
                <c:extLst xmlns:c15="http://schemas.microsoft.com/office/drawing/2012/chart">
                  <c:ext xmlns:c16="http://schemas.microsoft.com/office/drawing/2014/chart" uri="{C3380CC4-5D6E-409C-BE32-E72D297353CC}">
                    <c16:uniqueId val="{00000007-1B16-4B02-94B1-03471B548012}"/>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'PV kannattavuus ja mitoitus'!$K$101</c15:sqref>
                        </c15:formulaRef>
                      </c:ext>
                    </c:extLst>
                    <c:strCache>
                      <c:ptCount val="1"/>
                      <c:pt idx="0">
                        <c:v>Omaan käyttöön tuotetun aurinkosähkön arvo €</c:v>
                      </c:pt>
                    </c:strCache>
                  </c:strRef>
                </c:tx>
                <c:spPr>
                  <a:solidFill>
                    <a:schemeClr val="accent5">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'PV kannattavuus ja mitoitus'!$K$102:$K$113</c15:sqref>
                        </c15:formulaRef>
                      </c:ext>
                    </c:extLst>
                    <c:numCache>
                      <c:formatCode>#\ ##0.00\ "€"</c:formatCode>
                      <c:ptCount val="12"/>
                      <c:pt idx="0">
                        <c:v>15.351501567999998</c:v>
                      </c:pt>
                      <c:pt idx="1">
                        <c:v>47.663936320000005</c:v>
                      </c:pt>
                      <c:pt idx="2">
                        <c:v>117.05519945600001</c:v>
                      </c:pt>
                      <c:pt idx="3">
                        <c:v>183.84661152000001</c:v>
                      </c:pt>
                      <c:pt idx="4">
                        <c:v>259.53632338400007</c:v>
                      </c:pt>
                      <c:pt idx="5">
                        <c:v>261.37788456000004</c:v>
                      </c:pt>
                      <c:pt idx="6">
                        <c:v>268.65127744000006</c:v>
                      </c:pt>
                      <c:pt idx="7">
                        <c:v>196.21137941599997</c:v>
                      </c:pt>
                      <c:pt idx="8">
                        <c:v>117.92181648</c:v>
                      </c:pt>
                      <c:pt idx="9">
                        <c:v>56.608662032000005</c:v>
                      </c:pt>
                      <c:pt idx="10">
                        <c:v>23.212955999999998</c:v>
                      </c:pt>
                      <c:pt idx="11">
                        <c:v>9.5946884800000003</c:v>
                      </c:pt>
                    </c:numCache>
                  </c:numRef>
                </c:val>
                <c:extLst xmlns:c15="http://schemas.microsoft.com/office/drawing/2012/chart">
                  <c:ext xmlns:c16="http://schemas.microsoft.com/office/drawing/2014/chart" uri="{C3380CC4-5D6E-409C-BE32-E72D297353CC}">
                    <c16:uniqueId val="{00000008-1B16-4B02-94B1-03471B548012}"/>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'PV kannattavuus ja mitoitus'!$L$101</c15:sqref>
                        </c15:formulaRef>
                      </c:ext>
                    </c:extLst>
                    <c:strCache>
                      <c:ptCount val="1"/>
                      <c:pt idx="0">
                        <c:v>Sähkön myyntitulot €</c:v>
                      </c:pt>
                    </c:strCache>
                  </c:strRef>
                </c:tx>
                <c:spPr>
                  <a:solidFill>
                    <a:schemeClr val="accent1">
                      <a:lumMod val="80000"/>
                    </a:schemeClr>
                  </a:solidFill>
                  <a:ln>
                    <a:noFill/>
                  </a:ln>
                  <a:effectLst/>
                </c:spPr>
                <c:invertIfNegative val="0"/>
                <c:val>
                  <c:numRef>
                    <c:extLst xmlns:c15="http://schemas.microsoft.com/office/drawing/2012/chart">
                      <c:ext xmlns:c15="http://schemas.microsoft.com/office/drawing/2012/chart" uri="{02D57815-91ED-43cb-92C2-25804820EDAC}">
                        <c15:formulaRef>
                          <c15:sqref>'PV kannattavuus ja mitoitus'!$L$102:$L$113</c15:sqref>
                        </c15:formulaRef>
                      </c:ext>
                    </c:extLst>
                    <c:numCache>
                      <c:formatCode>#\ ##0.00\ "€"</c:formatCode>
                      <c:ptCount val="12"/>
                      <c:pt idx="0">
                        <c:v>0</c:v>
                      </c:pt>
                      <c:pt idx="1">
                        <c:v>0</c:v>
                      </c:pt>
                      <c:pt idx="2">
                        <c:v>0</c:v>
                      </c:pt>
                      <c:pt idx="3">
                        <c:v>0</c:v>
                      </c:pt>
                      <c:pt idx="4">
                        <c:v>6.7830560000000055</c:v>
                      </c:pt>
                      <c:pt idx="5">
                        <c:v>13.187039999999998</c:v>
                      </c:pt>
                      <c:pt idx="6">
                        <c:v>14.848959999999988</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9-1B16-4B02-94B1-03471B548012}"/>
                  </c:ext>
                </c:extLst>
              </c15:ser>
            </c15:filteredBarSeries>
          </c:ext>
        </c:extLst>
      </c:barChart>
      <c:catAx>
        <c:axId val="1809982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63268895"/>
        <c:crosses val="autoZero"/>
        <c:auto val="1"/>
        <c:lblAlgn val="ctr"/>
        <c:lblOffset val="100"/>
        <c:noMultiLvlLbl val="0"/>
      </c:catAx>
      <c:valAx>
        <c:axId val="16326889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8099826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222250</xdr:colOff>
      <xdr:row>100</xdr:row>
      <xdr:rowOff>388258</xdr:rowOff>
    </xdr:from>
    <xdr:to>
      <xdr:col>17</xdr:col>
      <xdr:colOff>326570</xdr:colOff>
      <xdr:row>113</xdr:row>
      <xdr:rowOff>36286</xdr:rowOff>
    </xdr:to>
    <xdr:graphicFrame macro="">
      <xdr:nvGraphicFramePr>
        <xdr:cNvPr id="2" name="Kaavio 1">
          <a:extLst>
            <a:ext uri="{FF2B5EF4-FFF2-40B4-BE49-F238E27FC236}">
              <a16:creationId xmlns:a16="http://schemas.microsoft.com/office/drawing/2014/main" id="{5597FA98-2420-4672-B948-A9CFBCDB48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lmastolaskuri.fi/"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EDAB9-55A9-4D16-992B-0492EC7754AB}">
  <sheetPr>
    <outlinePr summaryBelow="0" summaryRight="0"/>
  </sheetPr>
  <dimension ref="A1:AD1009"/>
  <sheetViews>
    <sheetView showGridLines="0" tabSelected="1" topLeftCell="A24" zoomScale="70" zoomScaleNormal="70" workbookViewId="0">
      <selection activeCell="F33" sqref="F33"/>
    </sheetView>
  </sheetViews>
  <sheetFormatPr defaultColWidth="14.6328125" defaultRowHeight="15" customHeight="1" x14ac:dyDescent="0.35"/>
  <cols>
    <col min="1" max="1" width="11.6328125" style="4" customWidth="1"/>
    <col min="2" max="2" width="11.54296875" style="4" customWidth="1"/>
    <col min="3" max="3" width="11.1796875" style="4" customWidth="1"/>
    <col min="4" max="4" width="14.1796875" style="4" customWidth="1"/>
    <col min="5" max="5" width="12.6328125" style="4" customWidth="1"/>
    <col min="6" max="6" width="11.36328125" style="4" customWidth="1"/>
    <col min="7" max="7" width="11.1796875" style="4" customWidth="1"/>
    <col min="8" max="8" width="13.54296875" style="4" customWidth="1"/>
    <col min="9" max="9" width="13.90625" style="4" customWidth="1"/>
    <col min="10" max="10" width="13.7265625" style="4" customWidth="1"/>
    <col min="11" max="11" width="13.54296875" style="4" customWidth="1"/>
    <col min="12" max="12" width="9.90625" style="4" customWidth="1"/>
    <col min="13" max="13" width="13.54296875" style="4" customWidth="1"/>
    <col min="14" max="14" width="14.26953125" style="4" customWidth="1"/>
    <col min="15" max="15" width="14.1796875" style="4" customWidth="1"/>
    <col min="16" max="16" width="13.1796875" style="4" customWidth="1"/>
    <col min="17" max="17" width="14.6328125" style="4" customWidth="1"/>
    <col min="18" max="16384" width="14.6328125" style="4"/>
  </cols>
  <sheetData>
    <row r="1" spans="1:26" ht="15.5" x14ac:dyDescent="0.35">
      <c r="A1" s="1" t="s">
        <v>0</v>
      </c>
      <c r="B1" s="2"/>
      <c r="C1" s="2"/>
      <c r="D1" s="2"/>
      <c r="E1" s="3"/>
      <c r="F1" s="3"/>
      <c r="G1" s="3"/>
      <c r="H1" s="3"/>
      <c r="I1" s="3"/>
      <c r="J1" s="3"/>
      <c r="K1" s="3"/>
      <c r="L1" s="3"/>
      <c r="M1" s="3"/>
      <c r="N1" s="3"/>
      <c r="O1" s="3"/>
      <c r="P1" s="3"/>
      <c r="Q1" s="3"/>
      <c r="R1" s="3"/>
      <c r="S1" s="3"/>
      <c r="T1" s="3"/>
      <c r="U1" s="3"/>
      <c r="V1" s="3"/>
      <c r="W1" s="3"/>
      <c r="X1" s="3"/>
      <c r="Y1" s="3"/>
      <c r="Z1" s="3"/>
    </row>
    <row r="2" spans="1:26" ht="15.5" x14ac:dyDescent="0.35">
      <c r="A2" s="3" t="s">
        <v>1</v>
      </c>
      <c r="B2" s="3"/>
      <c r="C2" s="3"/>
      <c r="D2" s="3"/>
      <c r="E2" s="3"/>
      <c r="F2" s="3"/>
      <c r="G2" s="3"/>
      <c r="H2" s="3"/>
      <c r="I2" s="3"/>
      <c r="J2" s="3"/>
      <c r="K2" s="3"/>
      <c r="L2" s="3"/>
      <c r="M2" s="3"/>
      <c r="N2" s="3"/>
      <c r="O2" s="3"/>
      <c r="P2" s="3"/>
      <c r="Q2" s="3"/>
      <c r="R2" s="3"/>
      <c r="S2" s="3"/>
      <c r="T2" s="3"/>
      <c r="U2" s="3"/>
      <c r="V2" s="3"/>
      <c r="W2" s="3"/>
      <c r="X2" s="3"/>
      <c r="Y2" s="3"/>
      <c r="Z2" s="3"/>
    </row>
    <row r="3" spans="1:26" ht="15.5" x14ac:dyDescent="0.35">
      <c r="B3" s="3"/>
      <c r="C3" s="3"/>
      <c r="D3" s="3"/>
      <c r="E3" s="3"/>
      <c r="F3" s="3"/>
      <c r="G3" s="3"/>
      <c r="H3" s="3"/>
      <c r="I3" s="3"/>
      <c r="J3" s="3"/>
      <c r="K3" s="3"/>
      <c r="L3" s="3"/>
      <c r="M3" s="3"/>
      <c r="N3" s="3"/>
      <c r="O3" s="3"/>
      <c r="P3" s="3"/>
      <c r="Q3" s="3"/>
      <c r="R3" s="3"/>
      <c r="S3" s="3"/>
      <c r="T3" s="3"/>
      <c r="U3" s="3"/>
      <c r="V3" s="3"/>
      <c r="W3" s="3"/>
      <c r="X3" s="3"/>
      <c r="Y3" s="3"/>
      <c r="Z3" s="3"/>
    </row>
    <row r="4" spans="1:26" ht="57.5" customHeight="1" x14ac:dyDescent="0.35">
      <c r="A4" s="166" t="s">
        <v>2</v>
      </c>
      <c r="B4" s="167"/>
      <c r="C4" s="167"/>
      <c r="D4" s="167"/>
      <c r="E4" s="167"/>
      <c r="F4" s="167"/>
      <c r="G4" s="167"/>
      <c r="H4" s="167"/>
      <c r="I4" s="3"/>
      <c r="J4" s="3"/>
      <c r="K4" s="3"/>
      <c r="L4" s="3"/>
      <c r="M4" s="3"/>
      <c r="N4" s="3"/>
      <c r="O4" s="3"/>
      <c r="P4" s="3"/>
      <c r="Q4" s="3"/>
      <c r="R4" s="3"/>
      <c r="S4" s="3"/>
      <c r="T4" s="3"/>
      <c r="U4" s="3"/>
      <c r="V4" s="3"/>
      <c r="W4" s="3"/>
      <c r="X4" s="3"/>
      <c r="Y4" s="3"/>
      <c r="Z4" s="3"/>
    </row>
    <row r="5" spans="1:26" ht="15.75" customHeight="1" x14ac:dyDescent="0.35">
      <c r="A5" s="5"/>
      <c r="B5" s="3"/>
      <c r="C5" s="3"/>
      <c r="D5" s="3"/>
      <c r="E5" s="3"/>
      <c r="F5" s="3"/>
      <c r="G5" s="3"/>
      <c r="H5" s="3"/>
      <c r="I5" s="3"/>
      <c r="J5" s="3"/>
      <c r="K5" s="3"/>
      <c r="L5" s="3"/>
      <c r="M5" s="3"/>
      <c r="N5" s="3"/>
      <c r="O5" s="3"/>
      <c r="P5" s="3"/>
      <c r="Q5" s="3"/>
      <c r="R5" s="3"/>
      <c r="S5" s="3"/>
      <c r="T5" s="3"/>
      <c r="U5" s="3"/>
      <c r="V5" s="3"/>
      <c r="W5" s="3"/>
      <c r="X5" s="3"/>
      <c r="Y5" s="3"/>
      <c r="Z5" s="3"/>
    </row>
    <row r="6" spans="1:26" ht="15.75" customHeight="1" x14ac:dyDescent="0.35">
      <c r="A6" s="5" t="s">
        <v>3</v>
      </c>
      <c r="B6" s="3"/>
      <c r="C6" s="3"/>
      <c r="D6" s="3"/>
      <c r="E6" s="3"/>
      <c r="F6" s="3"/>
      <c r="G6" s="3"/>
      <c r="H6" s="3"/>
      <c r="I6" s="3"/>
      <c r="J6" s="3"/>
      <c r="K6" s="3"/>
      <c r="L6" s="3"/>
      <c r="M6" s="3"/>
      <c r="N6" s="3"/>
      <c r="O6" s="3"/>
      <c r="P6" s="3"/>
      <c r="Q6" s="3"/>
      <c r="R6" s="3"/>
      <c r="S6" s="3"/>
      <c r="T6" s="3"/>
      <c r="U6" s="3"/>
      <c r="V6" s="3"/>
      <c r="W6" s="3"/>
      <c r="X6" s="3"/>
      <c r="Y6" s="3"/>
      <c r="Z6" s="3"/>
    </row>
    <row r="7" spans="1:26" ht="15.75" customHeight="1" x14ac:dyDescent="0.35">
      <c r="A7" s="6" t="s">
        <v>4</v>
      </c>
      <c r="B7" s="3"/>
      <c r="C7" s="3"/>
      <c r="D7" s="3"/>
      <c r="E7" s="3"/>
      <c r="F7" s="3"/>
      <c r="G7" s="3"/>
      <c r="H7" s="3"/>
      <c r="I7" s="3"/>
      <c r="J7" s="3"/>
      <c r="K7" s="3"/>
      <c r="L7" s="3"/>
      <c r="M7" s="3"/>
      <c r="N7" s="3"/>
      <c r="O7" s="3"/>
      <c r="P7" s="3"/>
      <c r="Q7" s="3"/>
      <c r="R7" s="3"/>
      <c r="S7" s="3"/>
      <c r="T7" s="3"/>
      <c r="U7" s="3"/>
      <c r="V7" s="3"/>
      <c r="W7" s="3"/>
      <c r="X7" s="3"/>
      <c r="Y7" s="3"/>
      <c r="Z7" s="3"/>
    </row>
    <row r="8" spans="1:26" ht="15.5" x14ac:dyDescent="0.35">
      <c r="A8" s="7"/>
      <c r="B8" s="7"/>
      <c r="C8" s="7"/>
      <c r="D8" s="7"/>
      <c r="E8" s="7"/>
      <c r="F8" s="7"/>
      <c r="G8" s="3"/>
      <c r="H8" s="3"/>
      <c r="I8" s="3"/>
      <c r="J8" s="3"/>
      <c r="K8" s="3"/>
      <c r="L8" s="3"/>
      <c r="M8" s="3"/>
      <c r="N8" s="3"/>
      <c r="O8" s="3"/>
      <c r="P8" s="3"/>
      <c r="Q8" s="3"/>
      <c r="R8" s="3"/>
      <c r="S8" s="3"/>
      <c r="T8" s="3"/>
      <c r="U8" s="3"/>
      <c r="V8" s="3"/>
      <c r="W8" s="3"/>
      <c r="X8" s="3"/>
      <c r="Y8" s="3"/>
      <c r="Z8" s="3"/>
    </row>
    <row r="9" spans="1:26" ht="15.5" x14ac:dyDescent="0.35">
      <c r="A9" s="168" t="s">
        <v>5</v>
      </c>
      <c r="B9" s="167"/>
      <c r="C9" s="167"/>
      <c r="D9" s="167"/>
      <c r="E9" s="167"/>
      <c r="F9" s="167"/>
      <c r="G9" s="167"/>
      <c r="H9" s="167"/>
      <c r="I9" s="3"/>
      <c r="J9" s="3"/>
      <c r="K9" s="3"/>
      <c r="L9" s="3"/>
      <c r="M9" s="3"/>
      <c r="N9" s="3"/>
      <c r="O9" s="3"/>
      <c r="P9" s="3"/>
      <c r="Q9" s="3"/>
      <c r="R9" s="3"/>
      <c r="S9" s="3"/>
      <c r="T9" s="3"/>
      <c r="U9" s="3"/>
      <c r="V9" s="3"/>
      <c r="W9" s="3"/>
      <c r="X9" s="3"/>
      <c r="Y9" s="3"/>
      <c r="Z9" s="3"/>
    </row>
    <row r="10" spans="1:26" ht="15.75" customHeight="1" x14ac:dyDescent="0.35">
      <c r="A10" s="169" t="s">
        <v>6</v>
      </c>
      <c r="B10" s="139"/>
      <c r="C10" s="139"/>
      <c r="D10" s="139"/>
      <c r="E10" s="140"/>
      <c r="F10" s="8">
        <f>(4)</f>
        <v>4</v>
      </c>
      <c r="G10" s="3" t="s">
        <v>7</v>
      </c>
      <c r="H10" s="3" t="s">
        <v>8</v>
      </c>
      <c r="I10" s="3"/>
      <c r="J10" s="3"/>
      <c r="K10" s="3"/>
      <c r="L10" s="3"/>
      <c r="M10" s="3"/>
      <c r="N10" s="3"/>
      <c r="O10" s="3"/>
      <c r="P10" s="3"/>
      <c r="Q10" s="3"/>
      <c r="R10" s="3"/>
      <c r="S10" s="3"/>
      <c r="T10" s="3"/>
      <c r="U10" s="3"/>
      <c r="V10" s="3"/>
      <c r="W10" s="3"/>
      <c r="X10" s="3"/>
      <c r="Y10" s="3"/>
      <c r="Z10" s="3"/>
    </row>
    <row r="11" spans="1:26" ht="15.75" customHeight="1" x14ac:dyDescent="0.35">
      <c r="A11" s="169" t="s">
        <v>9</v>
      </c>
      <c r="B11" s="139"/>
      <c r="C11" s="139"/>
      <c r="D11" s="139"/>
      <c r="E11" s="140"/>
      <c r="F11" s="8">
        <f>(2.5)</f>
        <v>2.5</v>
      </c>
      <c r="G11" s="3" t="s">
        <v>7</v>
      </c>
      <c r="H11" s="3" t="s">
        <v>10</v>
      </c>
      <c r="I11" s="3"/>
      <c r="J11" s="3"/>
      <c r="K11" s="3"/>
      <c r="L11" s="3"/>
      <c r="M11" s="3"/>
      <c r="N11" s="3"/>
      <c r="O11" s="3"/>
      <c r="P11" s="3"/>
      <c r="Q11" s="3"/>
      <c r="R11" s="3"/>
      <c r="S11" s="3"/>
      <c r="T11" s="3"/>
      <c r="U11" s="3"/>
      <c r="V11" s="3"/>
      <c r="W11" s="3"/>
      <c r="X11" s="3"/>
      <c r="Y11" s="3"/>
      <c r="Z11" s="3"/>
    </row>
    <row r="12" spans="1:26" ht="15.75" customHeight="1" x14ac:dyDescent="0.35">
      <c r="A12" s="169" t="s">
        <v>11</v>
      </c>
      <c r="B12" s="139"/>
      <c r="C12" s="139"/>
      <c r="D12" s="139"/>
      <c r="E12" s="140"/>
      <c r="F12" s="9">
        <f>(2.253)</f>
        <v>2.2530000000000001</v>
      </c>
      <c r="G12" s="3" t="s">
        <v>7</v>
      </c>
      <c r="H12" s="3" t="s">
        <v>12</v>
      </c>
      <c r="I12" s="3"/>
      <c r="J12" s="3"/>
      <c r="K12" s="3"/>
      <c r="L12" s="3"/>
      <c r="M12" s="3"/>
      <c r="N12" s="3"/>
      <c r="O12" s="3"/>
      <c r="P12" s="3"/>
      <c r="Q12" s="3"/>
      <c r="R12" s="3"/>
      <c r="S12" s="3"/>
      <c r="T12" s="3"/>
      <c r="U12" s="3"/>
      <c r="V12" s="3"/>
      <c r="W12" s="3"/>
      <c r="X12" s="3"/>
      <c r="Y12" s="3"/>
      <c r="Z12" s="3"/>
    </row>
    <row r="13" spans="1:26" ht="15.75" customHeight="1" x14ac:dyDescent="0.35">
      <c r="A13" s="169" t="s">
        <v>13</v>
      </c>
      <c r="B13" s="139"/>
      <c r="C13" s="139"/>
      <c r="D13" s="139"/>
      <c r="E13" s="140"/>
      <c r="F13" s="10">
        <v>0</v>
      </c>
      <c r="G13" s="3"/>
      <c r="H13" s="3" t="s">
        <v>14</v>
      </c>
      <c r="I13" s="3"/>
      <c r="J13" s="3"/>
      <c r="K13" s="3"/>
      <c r="L13" s="3"/>
      <c r="M13" s="3"/>
      <c r="N13" s="3"/>
      <c r="O13" s="3"/>
      <c r="P13" s="3"/>
      <c r="Q13" s="3"/>
      <c r="R13" s="3"/>
      <c r="S13" s="3"/>
      <c r="T13" s="3"/>
      <c r="U13" s="3"/>
      <c r="V13" s="3"/>
      <c r="W13" s="3"/>
      <c r="X13" s="3"/>
      <c r="Y13" s="3"/>
      <c r="Z13" s="3"/>
    </row>
    <row r="14" spans="1:26" ht="15.75" customHeight="1" x14ac:dyDescent="0.35">
      <c r="A14" s="156" t="s">
        <v>15</v>
      </c>
      <c r="B14" s="139"/>
      <c r="C14" s="139"/>
      <c r="D14" s="139"/>
      <c r="E14" s="140"/>
      <c r="F14" s="11">
        <f>(F10+F11+F12)*(1+F13)</f>
        <v>8.7530000000000001</v>
      </c>
      <c r="G14" s="3" t="s">
        <v>7</v>
      </c>
      <c r="H14" s="3"/>
      <c r="I14" s="3"/>
      <c r="J14" s="3"/>
      <c r="K14" s="3"/>
      <c r="L14" s="3"/>
      <c r="M14" s="3"/>
      <c r="N14" s="3"/>
      <c r="O14" s="3"/>
      <c r="P14" s="3"/>
      <c r="Q14" s="3"/>
      <c r="R14" s="3"/>
      <c r="S14" s="3"/>
      <c r="T14" s="3"/>
      <c r="U14" s="3"/>
      <c r="V14" s="3"/>
      <c r="W14" s="3"/>
      <c r="X14" s="3"/>
      <c r="Y14" s="3"/>
      <c r="Z14" s="3"/>
    </row>
    <row r="15" spans="1:26" ht="15.75" customHeight="1" x14ac:dyDescent="0.35">
      <c r="A15" s="158" t="s">
        <v>16</v>
      </c>
      <c r="B15" s="152"/>
      <c r="C15" s="152"/>
      <c r="D15" s="152"/>
      <c r="E15" s="153"/>
      <c r="F15" s="12">
        <v>0.02</v>
      </c>
      <c r="G15" s="3" t="s">
        <v>17</v>
      </c>
      <c r="H15" s="3" t="s">
        <v>18</v>
      </c>
      <c r="I15" s="3"/>
      <c r="J15" s="3"/>
      <c r="K15" s="3"/>
      <c r="L15" s="3"/>
      <c r="M15" s="3"/>
      <c r="N15" s="3"/>
      <c r="O15" s="3"/>
      <c r="P15" s="3"/>
      <c r="Q15" s="3"/>
      <c r="R15" s="3"/>
      <c r="S15" s="3"/>
      <c r="T15" s="3"/>
      <c r="U15" s="3"/>
      <c r="V15" s="3"/>
      <c r="W15" s="3"/>
      <c r="X15" s="3"/>
      <c r="Y15" s="3"/>
      <c r="Z15" s="3"/>
    </row>
    <row r="16" spans="1:26" ht="15.75" customHeight="1" x14ac:dyDescent="0.35">
      <c r="A16" s="170" t="s">
        <v>19</v>
      </c>
      <c r="B16" s="170"/>
      <c r="C16" s="170"/>
      <c r="D16" s="170"/>
      <c r="E16" s="170"/>
      <c r="F16" s="13">
        <v>83100</v>
      </c>
      <c r="G16" s="7" t="s">
        <v>20</v>
      </c>
      <c r="H16" s="3"/>
      <c r="I16" s="3"/>
      <c r="J16" s="3"/>
      <c r="K16" s="3"/>
      <c r="L16" s="3"/>
      <c r="M16" s="3"/>
      <c r="N16" s="3"/>
      <c r="O16" s="3"/>
      <c r="P16" s="3"/>
      <c r="Q16" s="3"/>
      <c r="R16" s="3"/>
      <c r="S16" s="3"/>
      <c r="T16" s="3"/>
      <c r="U16" s="3"/>
      <c r="V16" s="3"/>
      <c r="W16" s="3"/>
      <c r="X16" s="3"/>
      <c r="Y16" s="3"/>
      <c r="Z16" s="3"/>
    </row>
    <row r="17" spans="1:26" ht="15.75" customHeight="1" x14ac:dyDescent="0.35">
      <c r="A17" s="14" t="s">
        <v>21</v>
      </c>
      <c r="B17" s="7"/>
      <c r="C17" s="7"/>
      <c r="F17" s="7"/>
      <c r="G17" s="7"/>
      <c r="H17" s="3"/>
      <c r="I17" s="3"/>
      <c r="J17" s="3"/>
      <c r="K17" s="3"/>
      <c r="L17" s="3"/>
      <c r="M17" s="3"/>
      <c r="N17" s="3"/>
      <c r="O17" s="3"/>
      <c r="P17" s="3"/>
      <c r="Q17" s="3"/>
      <c r="R17" s="3"/>
      <c r="S17" s="3"/>
      <c r="T17" s="3"/>
      <c r="U17" s="3"/>
      <c r="V17" s="3"/>
      <c r="W17" s="3"/>
      <c r="X17" s="3"/>
      <c r="Y17" s="3"/>
      <c r="Z17" s="3"/>
    </row>
    <row r="18" spans="1:26" ht="15.5" x14ac:dyDescent="0.35">
      <c r="A18" s="143" t="s">
        <v>22</v>
      </c>
      <c r="B18" s="139"/>
      <c r="C18" s="139"/>
      <c r="D18" s="139"/>
      <c r="E18" s="140"/>
      <c r="F18" s="8">
        <v>20</v>
      </c>
      <c r="G18" s="15" t="s">
        <v>23</v>
      </c>
      <c r="I18" s="3"/>
      <c r="J18" s="3"/>
      <c r="K18" s="3"/>
      <c r="L18" s="3"/>
      <c r="M18" s="3"/>
      <c r="N18" s="3"/>
      <c r="O18" s="3"/>
      <c r="P18" s="3"/>
      <c r="Q18" s="3"/>
      <c r="R18" s="3"/>
      <c r="S18" s="3"/>
      <c r="T18" s="3"/>
      <c r="U18" s="3"/>
      <c r="V18" s="3"/>
      <c r="W18" s="3"/>
      <c r="X18" s="3"/>
      <c r="Y18" s="3"/>
      <c r="Z18" s="3"/>
    </row>
    <row r="19" spans="1:26" ht="15.5" x14ac:dyDescent="0.35">
      <c r="A19" s="165" t="s">
        <v>24</v>
      </c>
      <c r="B19" s="139"/>
      <c r="C19" s="139"/>
      <c r="D19" s="139"/>
      <c r="E19" s="140"/>
      <c r="F19" s="16">
        <f>(F18*1000)/250*1.7</f>
        <v>136</v>
      </c>
      <c r="G19" s="17" t="s">
        <v>25</v>
      </c>
      <c r="H19" s="3"/>
      <c r="I19" s="3"/>
      <c r="J19" s="3"/>
      <c r="K19" s="3"/>
      <c r="L19" s="3"/>
      <c r="M19" s="3"/>
      <c r="N19" s="3"/>
      <c r="O19" s="3"/>
      <c r="P19" s="3"/>
      <c r="Q19" s="3"/>
      <c r="R19" s="3"/>
      <c r="S19" s="3"/>
      <c r="T19" s="3"/>
      <c r="U19" s="3"/>
      <c r="V19" s="3"/>
      <c r="W19" s="3"/>
      <c r="X19" s="3"/>
      <c r="Y19" s="3"/>
      <c r="Z19" s="3"/>
    </row>
    <row r="20" spans="1:26" ht="15.5" x14ac:dyDescent="0.35">
      <c r="A20" s="143" t="s">
        <v>26</v>
      </c>
      <c r="B20" s="139"/>
      <c r="C20" s="139"/>
      <c r="D20" s="139"/>
      <c r="E20" s="140"/>
      <c r="F20" s="18">
        <v>880</v>
      </c>
      <c r="G20" s="3" t="s">
        <v>27</v>
      </c>
      <c r="H20" s="3" t="s">
        <v>28</v>
      </c>
      <c r="I20" s="3"/>
      <c r="J20" s="3"/>
      <c r="K20" s="3"/>
      <c r="L20" s="3"/>
      <c r="M20" s="3"/>
      <c r="N20" s="3"/>
      <c r="O20" s="3"/>
      <c r="P20" s="3"/>
      <c r="Q20" s="3"/>
      <c r="R20" s="3"/>
      <c r="S20" s="3"/>
      <c r="T20" s="3"/>
      <c r="U20" s="3"/>
      <c r="V20" s="3"/>
      <c r="W20" s="3"/>
      <c r="X20" s="3"/>
      <c r="Y20" s="3"/>
      <c r="Z20" s="3"/>
    </row>
    <row r="21" spans="1:26" ht="15.75" customHeight="1" x14ac:dyDescent="0.35">
      <c r="A21" s="163" t="s">
        <v>29</v>
      </c>
      <c r="B21" s="139"/>
      <c r="C21" s="139"/>
      <c r="D21" s="139"/>
      <c r="E21" s="140"/>
      <c r="F21" s="19">
        <f>(F18)*F20</f>
        <v>17600</v>
      </c>
      <c r="G21" s="17" t="s">
        <v>30</v>
      </c>
      <c r="H21" s="3"/>
      <c r="I21" s="3"/>
      <c r="J21" s="3"/>
      <c r="K21" s="3"/>
      <c r="L21" s="3"/>
      <c r="M21" s="3"/>
      <c r="N21" s="3"/>
      <c r="O21" s="3"/>
      <c r="P21" s="3"/>
      <c r="Q21" s="3"/>
      <c r="R21" s="3"/>
      <c r="S21" s="3"/>
      <c r="T21" s="3"/>
      <c r="U21" s="3"/>
      <c r="V21" s="3"/>
      <c r="W21" s="3"/>
      <c r="X21" s="3"/>
      <c r="Y21" s="3"/>
      <c r="Z21" s="3"/>
    </row>
    <row r="22" spans="1:26" ht="15.5" x14ac:dyDescent="0.35">
      <c r="A22" s="143" t="s">
        <v>31</v>
      </c>
      <c r="B22" s="139"/>
      <c r="C22" s="139"/>
      <c r="D22" s="139"/>
      <c r="E22" s="140"/>
      <c r="F22" s="20">
        <v>-5.0000000000000001E-3</v>
      </c>
      <c r="G22" s="3" t="s">
        <v>32</v>
      </c>
      <c r="H22" s="3" t="s">
        <v>33</v>
      </c>
      <c r="I22" s="3"/>
      <c r="J22" s="3"/>
      <c r="K22" s="3"/>
      <c r="L22" s="3"/>
      <c r="M22" s="3"/>
      <c r="N22" s="3"/>
      <c r="O22" s="3"/>
      <c r="P22" s="3"/>
      <c r="Q22" s="3"/>
      <c r="R22" s="3"/>
      <c r="S22" s="3"/>
      <c r="T22" s="3"/>
      <c r="U22" s="3"/>
      <c r="V22" s="3"/>
      <c r="W22" s="3"/>
      <c r="X22" s="3"/>
      <c r="Y22" s="3"/>
      <c r="Z22" s="3"/>
    </row>
    <row r="23" spans="1:26" ht="15.5" x14ac:dyDescent="0.35">
      <c r="A23" s="157" t="s">
        <v>34</v>
      </c>
      <c r="B23" s="139"/>
      <c r="C23" s="139"/>
      <c r="D23" s="139"/>
      <c r="E23" s="140"/>
      <c r="F23" s="21">
        <v>0.1</v>
      </c>
      <c r="G23" s="22"/>
      <c r="H23" s="3" t="s">
        <v>35</v>
      </c>
      <c r="I23" s="22"/>
      <c r="J23" s="22"/>
      <c r="K23" s="22"/>
      <c r="L23" s="22"/>
      <c r="M23" s="22"/>
      <c r="N23" s="22"/>
      <c r="O23" s="22"/>
      <c r="P23" s="22"/>
      <c r="Q23" s="22"/>
      <c r="R23" s="22"/>
      <c r="S23" s="22"/>
      <c r="T23" s="22"/>
      <c r="U23" s="22"/>
      <c r="V23" s="22"/>
      <c r="W23" s="22"/>
      <c r="X23" s="22"/>
      <c r="Y23" s="22"/>
      <c r="Z23" s="22"/>
    </row>
    <row r="24" spans="1:26" ht="15.75" customHeight="1" x14ac:dyDescent="0.35">
      <c r="A24" s="164" t="s">
        <v>36</v>
      </c>
      <c r="B24" s="139"/>
      <c r="C24" s="139"/>
      <c r="D24" s="139"/>
      <c r="E24" s="140"/>
      <c r="F24" s="8">
        <v>2</v>
      </c>
      <c r="G24" s="3" t="s">
        <v>7</v>
      </c>
      <c r="H24" s="3" t="s">
        <v>37</v>
      </c>
      <c r="I24" s="3"/>
      <c r="J24" s="3"/>
      <c r="K24" s="3"/>
      <c r="L24" s="3"/>
      <c r="M24" s="3"/>
      <c r="N24" s="3"/>
      <c r="O24" s="3"/>
      <c r="P24" s="3"/>
      <c r="Q24" s="3"/>
      <c r="R24" s="3"/>
      <c r="S24" s="3"/>
      <c r="T24" s="3"/>
      <c r="U24" s="3"/>
      <c r="V24" s="3"/>
      <c r="W24" s="3"/>
      <c r="X24" s="3"/>
      <c r="Y24" s="3"/>
      <c r="Z24" s="3"/>
    </row>
    <row r="25" spans="1:26" ht="15.5" x14ac:dyDescent="0.35">
      <c r="A25" s="23"/>
      <c r="B25" s="23"/>
      <c r="C25" s="23"/>
      <c r="D25" s="23"/>
      <c r="E25" s="23"/>
      <c r="F25" s="24"/>
      <c r="G25" s="22"/>
      <c r="H25" s="22"/>
      <c r="I25" s="22"/>
      <c r="J25" s="22"/>
      <c r="K25" s="22"/>
      <c r="L25" s="22"/>
      <c r="M25" s="22"/>
      <c r="N25" s="22"/>
      <c r="O25" s="22"/>
      <c r="P25" s="22"/>
      <c r="Q25" s="22"/>
      <c r="R25" s="22"/>
      <c r="S25" s="22"/>
      <c r="T25" s="22"/>
      <c r="U25" s="22"/>
      <c r="V25" s="22"/>
      <c r="W25" s="22"/>
      <c r="X25" s="22"/>
      <c r="Y25" s="22"/>
      <c r="Z25" s="22"/>
    </row>
    <row r="26" spans="1:26" ht="15.5" x14ac:dyDescent="0.35">
      <c r="A26" s="25" t="s">
        <v>38</v>
      </c>
      <c r="B26" s="23"/>
      <c r="C26" s="23"/>
      <c r="D26" s="23"/>
      <c r="E26" s="23"/>
      <c r="F26" s="24"/>
      <c r="G26" s="22"/>
      <c r="H26" s="22"/>
      <c r="I26" s="22"/>
      <c r="J26" s="22"/>
      <c r="K26" s="22"/>
      <c r="L26" s="22"/>
      <c r="M26" s="22"/>
      <c r="N26" s="22"/>
      <c r="O26" s="22"/>
      <c r="P26" s="22"/>
      <c r="Q26" s="22"/>
      <c r="R26" s="22"/>
      <c r="S26" s="22"/>
      <c r="T26" s="22"/>
      <c r="U26" s="22"/>
      <c r="V26" s="22"/>
      <c r="W26" s="22"/>
      <c r="X26" s="22"/>
      <c r="Y26" s="22"/>
      <c r="Z26" s="22"/>
    </row>
    <row r="27" spans="1:26" ht="15.5" x14ac:dyDescent="0.35">
      <c r="A27" s="143" t="s">
        <v>39</v>
      </c>
      <c r="B27" s="139"/>
      <c r="C27" s="139"/>
      <c r="D27" s="139"/>
      <c r="E27" s="140"/>
      <c r="F27" s="26">
        <v>19000</v>
      </c>
      <c r="G27" s="3" t="s">
        <v>40</v>
      </c>
      <c r="H27" s="3" t="s">
        <v>41</v>
      </c>
      <c r="I27" s="3"/>
      <c r="J27" s="3"/>
      <c r="K27" s="3"/>
      <c r="L27" s="3"/>
      <c r="M27" s="3"/>
      <c r="N27" s="3"/>
      <c r="O27" s="3"/>
      <c r="P27" s="3"/>
      <c r="Q27" s="3"/>
      <c r="R27" s="3"/>
      <c r="S27" s="3"/>
      <c r="T27" s="3"/>
      <c r="U27" s="3"/>
      <c r="V27" s="3"/>
      <c r="W27" s="3"/>
      <c r="X27" s="3"/>
      <c r="Y27" s="3"/>
      <c r="Z27" s="3"/>
    </row>
    <row r="28" spans="1:26" ht="15.5" x14ac:dyDescent="0.35">
      <c r="A28" s="165" t="s">
        <v>42</v>
      </c>
      <c r="B28" s="139"/>
      <c r="C28" s="139"/>
      <c r="D28" s="139"/>
      <c r="E28" s="140"/>
      <c r="F28" s="27">
        <f>F27/F18</f>
        <v>950</v>
      </c>
      <c r="G28" s="17" t="s">
        <v>43</v>
      </c>
      <c r="H28" s="3"/>
      <c r="I28" s="3"/>
      <c r="J28" s="3"/>
      <c r="K28" s="3"/>
      <c r="L28" s="3"/>
      <c r="M28" s="3"/>
      <c r="N28" s="3"/>
      <c r="O28" s="3"/>
      <c r="P28" s="3"/>
      <c r="Q28" s="3"/>
      <c r="R28" s="3"/>
      <c r="S28" s="3"/>
      <c r="T28" s="3"/>
      <c r="U28" s="3"/>
      <c r="V28" s="3"/>
      <c r="W28" s="3"/>
      <c r="X28" s="3"/>
      <c r="Y28" s="3"/>
      <c r="Z28" s="3"/>
    </row>
    <row r="29" spans="1:26" ht="15.5" x14ac:dyDescent="0.35">
      <c r="A29" s="164" t="s">
        <v>44</v>
      </c>
      <c r="B29" s="139"/>
      <c r="C29" s="139"/>
      <c r="D29" s="139"/>
      <c r="E29" s="140"/>
      <c r="F29" s="21">
        <v>0.2</v>
      </c>
      <c r="G29" s="3"/>
      <c r="H29" s="3" t="s">
        <v>140</v>
      </c>
      <c r="I29" s="3"/>
      <c r="J29" s="3"/>
      <c r="K29" s="3"/>
      <c r="L29" s="3"/>
      <c r="M29" s="3"/>
      <c r="N29" s="3"/>
      <c r="O29" s="3"/>
      <c r="P29" s="3"/>
      <c r="Q29" s="3"/>
      <c r="R29" s="3"/>
      <c r="S29" s="3"/>
      <c r="T29" s="3"/>
      <c r="U29" s="3"/>
      <c r="V29" s="3"/>
      <c r="W29" s="3"/>
      <c r="X29" s="3"/>
      <c r="Y29" s="3"/>
      <c r="Z29" s="3"/>
    </row>
    <row r="30" spans="1:26" ht="15.75" customHeight="1" x14ac:dyDescent="0.35">
      <c r="A30" s="164" t="s">
        <v>45</v>
      </c>
      <c r="B30" s="139"/>
      <c r="C30" s="139"/>
      <c r="D30" s="139"/>
      <c r="E30" s="140"/>
      <c r="F30" s="28">
        <v>0</v>
      </c>
      <c r="G30" s="3" t="s">
        <v>40</v>
      </c>
      <c r="H30" s="3"/>
      <c r="I30" s="3"/>
      <c r="J30" s="3"/>
      <c r="K30" s="3"/>
      <c r="L30" s="3"/>
      <c r="M30" s="3"/>
      <c r="N30" s="3"/>
      <c r="O30" s="3"/>
      <c r="P30" s="3"/>
      <c r="Q30" s="3"/>
      <c r="R30" s="3"/>
      <c r="S30" s="3"/>
      <c r="T30" s="3"/>
      <c r="U30" s="3"/>
      <c r="V30" s="3"/>
      <c r="W30" s="3"/>
      <c r="X30" s="3"/>
      <c r="Y30" s="3"/>
      <c r="Z30" s="3"/>
    </row>
    <row r="31" spans="1:26" ht="15.5" x14ac:dyDescent="0.35">
      <c r="A31" s="156" t="s">
        <v>46</v>
      </c>
      <c r="B31" s="139"/>
      <c r="C31" s="139"/>
      <c r="D31" s="139"/>
      <c r="E31" s="139"/>
      <c r="F31" s="27">
        <f>F27-(F27*F29)-F30</f>
        <v>15200</v>
      </c>
      <c r="G31" s="17" t="s">
        <v>40</v>
      </c>
      <c r="H31" s="3" t="s">
        <v>47</v>
      </c>
      <c r="I31" s="3"/>
      <c r="J31" s="3"/>
      <c r="K31" s="3"/>
      <c r="L31" s="3"/>
      <c r="M31" s="3"/>
      <c r="N31" s="3"/>
      <c r="O31" s="3"/>
      <c r="P31" s="3"/>
      <c r="Q31" s="3"/>
      <c r="R31" s="3"/>
      <c r="S31" s="3"/>
      <c r="T31" s="3"/>
      <c r="U31" s="3"/>
      <c r="V31" s="3"/>
      <c r="W31" s="3"/>
      <c r="X31" s="3"/>
      <c r="Y31" s="3"/>
      <c r="Z31" s="3"/>
    </row>
    <row r="32" spans="1:26" ht="15.5" x14ac:dyDescent="0.35">
      <c r="A32" s="157" t="s">
        <v>48</v>
      </c>
      <c r="B32" s="139"/>
      <c r="C32" s="139"/>
      <c r="D32" s="139"/>
      <c r="E32" s="139"/>
      <c r="F32" s="29">
        <v>14400</v>
      </c>
      <c r="G32" s="3"/>
      <c r="I32" s="3"/>
      <c r="J32" s="3"/>
      <c r="K32" s="3"/>
      <c r="L32" s="3"/>
      <c r="M32" s="3"/>
      <c r="N32" s="3"/>
      <c r="O32" s="3"/>
      <c r="P32" s="3"/>
      <c r="Q32" s="3"/>
      <c r="R32" s="3"/>
      <c r="S32" s="3"/>
      <c r="T32" s="3"/>
      <c r="U32" s="3"/>
      <c r="V32" s="3"/>
      <c r="W32" s="3"/>
      <c r="X32" s="3"/>
      <c r="Y32" s="3"/>
      <c r="Z32" s="3"/>
    </row>
    <row r="33" spans="1:30" ht="15.5" x14ac:dyDescent="0.35">
      <c r="A33" s="157" t="s">
        <v>49</v>
      </c>
      <c r="B33" s="139"/>
      <c r="C33" s="139"/>
      <c r="D33" s="139"/>
      <c r="E33" s="139"/>
      <c r="F33" s="30">
        <v>10</v>
      </c>
      <c r="G33" s="3" t="s">
        <v>50</v>
      </c>
      <c r="H33" s="3"/>
      <c r="I33" s="3"/>
      <c r="J33" s="3"/>
      <c r="K33" s="3"/>
      <c r="L33" s="3"/>
      <c r="M33" s="3"/>
      <c r="N33" s="3"/>
      <c r="O33" s="3"/>
      <c r="P33" s="3"/>
      <c r="Q33" s="3"/>
      <c r="R33" s="3"/>
      <c r="S33" s="3"/>
      <c r="T33" s="3"/>
      <c r="U33" s="3"/>
      <c r="V33" s="3"/>
      <c r="W33" s="3"/>
      <c r="X33" s="3"/>
      <c r="Y33" s="3"/>
      <c r="Z33" s="3"/>
    </row>
    <row r="34" spans="1:30" ht="15.5" x14ac:dyDescent="0.35">
      <c r="A34" s="157" t="s">
        <v>51</v>
      </c>
      <c r="B34" s="139"/>
      <c r="C34" s="139"/>
      <c r="D34" s="139"/>
      <c r="E34" s="139"/>
      <c r="F34" s="31">
        <v>1.4999999999999999E-2</v>
      </c>
      <c r="G34" s="3"/>
      <c r="H34" s="3"/>
      <c r="I34" s="3"/>
      <c r="J34" s="3"/>
      <c r="K34" s="3"/>
      <c r="L34" s="3"/>
      <c r="M34" s="3"/>
      <c r="N34" s="3"/>
      <c r="O34" s="3"/>
      <c r="P34" s="3"/>
      <c r="Q34" s="3"/>
      <c r="R34" s="3"/>
      <c r="S34" s="3"/>
      <c r="T34" s="3"/>
      <c r="U34" s="3"/>
      <c r="V34" s="3"/>
      <c r="W34" s="3"/>
      <c r="X34" s="3"/>
      <c r="Y34" s="3"/>
      <c r="Z34" s="3"/>
    </row>
    <row r="35" spans="1:30" ht="15.5" x14ac:dyDescent="0.35">
      <c r="A35" s="156" t="s">
        <v>52</v>
      </c>
      <c r="B35" s="139"/>
      <c r="C35" s="139"/>
      <c r="D35" s="139"/>
      <c r="E35" s="139"/>
      <c r="F35" s="32">
        <f>IFERROR(F32/F33,0)</f>
        <v>1440</v>
      </c>
      <c r="G35" s="17" t="s">
        <v>53</v>
      </c>
      <c r="H35" s="3" t="s">
        <v>54</v>
      </c>
      <c r="I35" s="3"/>
      <c r="J35" s="3"/>
      <c r="K35" s="3"/>
      <c r="L35" s="3"/>
      <c r="M35" s="3"/>
      <c r="N35" s="3"/>
      <c r="O35" s="3"/>
      <c r="P35" s="3"/>
      <c r="Q35" s="3"/>
      <c r="R35" s="3"/>
      <c r="S35" s="3"/>
      <c r="T35" s="3"/>
      <c r="U35" s="3"/>
      <c r="V35" s="3"/>
      <c r="W35" s="3"/>
      <c r="X35" s="3"/>
      <c r="Y35" s="3"/>
      <c r="Z35" s="3"/>
    </row>
    <row r="36" spans="1:30" ht="15.5" x14ac:dyDescent="0.35">
      <c r="A36" s="157" t="s">
        <v>55</v>
      </c>
      <c r="B36" s="139"/>
      <c r="C36" s="139"/>
      <c r="D36" s="139"/>
      <c r="E36" s="139"/>
      <c r="F36" s="20">
        <v>0</v>
      </c>
      <c r="G36" s="3"/>
      <c r="H36" s="3" t="s">
        <v>56</v>
      </c>
      <c r="I36" s="3"/>
      <c r="J36" s="3"/>
      <c r="K36" s="3"/>
      <c r="L36" s="3"/>
      <c r="M36" s="3"/>
      <c r="N36" s="3"/>
      <c r="O36" s="3"/>
      <c r="P36" s="3"/>
      <c r="Q36" s="3"/>
      <c r="R36" s="3"/>
      <c r="S36" s="3"/>
      <c r="T36" s="3"/>
      <c r="U36" s="3"/>
      <c r="V36" s="3"/>
      <c r="W36" s="3"/>
      <c r="X36" s="3"/>
      <c r="Y36" s="3"/>
      <c r="Z36" s="3"/>
    </row>
    <row r="37" spans="1:30" ht="15.5" x14ac:dyDescent="0.35">
      <c r="A37" s="158" t="s">
        <v>57</v>
      </c>
      <c r="B37" s="152"/>
      <c r="C37" s="152"/>
      <c r="D37" s="152"/>
      <c r="E37" s="153"/>
      <c r="F37" s="33">
        <v>0.08</v>
      </c>
      <c r="G37" s="3"/>
      <c r="H37" s="3" t="s">
        <v>58</v>
      </c>
      <c r="I37" s="3"/>
      <c r="J37" s="3"/>
      <c r="K37" s="3"/>
      <c r="L37" s="3"/>
      <c r="M37" s="3"/>
      <c r="N37" s="3"/>
      <c r="O37" s="3"/>
      <c r="P37" s="3"/>
      <c r="Q37" s="3"/>
      <c r="R37" s="3"/>
      <c r="S37" s="3"/>
      <c r="T37" s="3"/>
      <c r="U37" s="3"/>
      <c r="V37" s="3"/>
      <c r="W37" s="3"/>
      <c r="X37" s="3"/>
      <c r="Y37" s="3"/>
      <c r="Z37" s="3"/>
    </row>
    <row r="38" spans="1:30" ht="15.5" x14ac:dyDescent="0.35">
      <c r="A38" s="143" t="s">
        <v>59</v>
      </c>
      <c r="B38" s="139"/>
      <c r="C38" s="139"/>
      <c r="D38" s="139"/>
      <c r="E38" s="140"/>
      <c r="F38" s="29">
        <f>(100)</f>
        <v>100</v>
      </c>
      <c r="G38" s="3" t="s">
        <v>40</v>
      </c>
      <c r="H38" s="3" t="s">
        <v>41</v>
      </c>
      <c r="I38" s="3"/>
      <c r="J38" s="3"/>
      <c r="K38" s="3"/>
      <c r="L38" s="3"/>
      <c r="M38" s="3"/>
      <c r="N38" s="3"/>
      <c r="O38" s="3"/>
      <c r="P38" s="3"/>
      <c r="Q38" s="3"/>
      <c r="R38" s="3"/>
      <c r="S38" s="3"/>
      <c r="T38" s="3"/>
      <c r="U38" s="3"/>
      <c r="V38" s="3"/>
      <c r="W38" s="3"/>
      <c r="X38" s="3"/>
      <c r="Y38" s="3"/>
      <c r="Z38" s="3"/>
    </row>
    <row r="39" spans="1:30" ht="15.75" customHeight="1" x14ac:dyDescent="0.35">
      <c r="A39" s="34"/>
      <c r="B39" s="35"/>
      <c r="C39" s="35"/>
      <c r="D39" s="36"/>
      <c r="E39" s="3"/>
      <c r="F39" s="3"/>
      <c r="G39" s="3"/>
      <c r="H39" s="3"/>
      <c r="I39" s="3"/>
      <c r="J39" s="3"/>
      <c r="K39" s="3"/>
      <c r="L39" s="3"/>
      <c r="M39" s="3"/>
      <c r="N39" s="3"/>
      <c r="O39" s="3"/>
      <c r="P39" s="3"/>
      <c r="Q39" s="3"/>
      <c r="R39" s="3"/>
      <c r="S39" s="3"/>
      <c r="T39" s="3"/>
      <c r="U39" s="3"/>
      <c r="V39" s="3"/>
      <c r="W39" s="3"/>
      <c r="X39" s="3"/>
      <c r="Y39" s="3"/>
      <c r="Z39" s="3"/>
    </row>
    <row r="40" spans="1:30" ht="15.5" x14ac:dyDescent="0.35">
      <c r="A40" s="37" t="s">
        <v>60</v>
      </c>
      <c r="B40" s="3"/>
      <c r="C40" s="3"/>
      <c r="D40" s="3"/>
      <c r="E40" s="3"/>
      <c r="F40" s="3"/>
      <c r="G40" s="3"/>
      <c r="H40" s="38"/>
      <c r="I40" s="3"/>
      <c r="J40" s="3"/>
      <c r="K40" s="3"/>
      <c r="L40" s="3"/>
      <c r="M40" s="3"/>
      <c r="N40" s="3"/>
      <c r="O40" s="3"/>
      <c r="P40" s="3"/>
      <c r="Q40" s="3"/>
      <c r="R40" s="3"/>
      <c r="S40" s="3"/>
      <c r="T40" s="3"/>
      <c r="U40" s="3"/>
      <c r="V40" s="3"/>
      <c r="W40" s="3"/>
      <c r="X40" s="3"/>
      <c r="Y40" s="3"/>
      <c r="Z40" s="3"/>
    </row>
    <row r="41" spans="1:30" ht="15.5" x14ac:dyDescent="0.35">
      <c r="B41" s="3"/>
      <c r="C41" s="3"/>
      <c r="D41" s="3"/>
      <c r="E41" s="3"/>
      <c r="F41" s="3"/>
      <c r="G41" s="3"/>
      <c r="H41" s="38"/>
      <c r="I41" s="3"/>
      <c r="J41" s="3"/>
      <c r="K41" s="3"/>
      <c r="L41" s="3"/>
      <c r="M41" s="3"/>
      <c r="N41" s="3"/>
      <c r="O41" s="3"/>
      <c r="P41" s="3"/>
      <c r="Q41" s="3"/>
      <c r="R41" s="3"/>
      <c r="S41" s="3"/>
      <c r="T41" s="3"/>
      <c r="U41" s="3"/>
      <c r="V41" s="3"/>
      <c r="W41" s="3"/>
      <c r="X41" s="3"/>
      <c r="Y41" s="3"/>
      <c r="Z41" s="3"/>
    </row>
    <row r="42" spans="1:30" ht="15.5" customHeight="1" x14ac:dyDescent="0.35">
      <c r="A42" s="159" t="s">
        <v>61</v>
      </c>
      <c r="B42" s="140"/>
      <c r="C42" s="160" t="s">
        <v>62</v>
      </c>
      <c r="D42" s="140"/>
      <c r="E42" s="161" t="s">
        <v>63</v>
      </c>
      <c r="F42" s="162"/>
      <c r="G42" s="162"/>
      <c r="H42" s="162"/>
      <c r="I42" s="162"/>
      <c r="J42" s="162"/>
      <c r="K42" s="162"/>
      <c r="L42" s="145" t="s">
        <v>64</v>
      </c>
      <c r="M42" s="145"/>
      <c r="N42" s="146"/>
      <c r="P42" s="147" t="s">
        <v>65</v>
      </c>
      <c r="Q42" s="147"/>
      <c r="R42" s="147"/>
      <c r="S42" s="39"/>
      <c r="T42" s="40"/>
      <c r="U42" s="40"/>
      <c r="V42" s="40"/>
      <c r="W42" s="40"/>
      <c r="X42" s="40"/>
      <c r="Y42" s="40"/>
      <c r="Z42" s="40"/>
      <c r="AA42" s="40"/>
      <c r="AB42" s="40"/>
      <c r="AC42" s="40"/>
      <c r="AD42" s="40"/>
    </row>
    <row r="43" spans="1:30" ht="61.5" customHeight="1" x14ac:dyDescent="0.35">
      <c r="A43" s="41" t="s">
        <v>66</v>
      </c>
      <c r="B43" s="41" t="s">
        <v>67</v>
      </c>
      <c r="C43" s="42" t="s">
        <v>68</v>
      </c>
      <c r="D43" s="43" t="s">
        <v>69</v>
      </c>
      <c r="E43" s="44" t="s">
        <v>70</v>
      </c>
      <c r="F43" s="44" t="s">
        <v>71</v>
      </c>
      <c r="G43" s="45" t="s">
        <v>72</v>
      </c>
      <c r="H43" s="44" t="s">
        <v>73</v>
      </c>
      <c r="I43" s="44" t="s">
        <v>74</v>
      </c>
      <c r="J43" s="44" t="s">
        <v>75</v>
      </c>
      <c r="K43" s="45" t="s">
        <v>76</v>
      </c>
      <c r="L43" s="46" t="s">
        <v>77</v>
      </c>
      <c r="M43" s="47" t="s">
        <v>78</v>
      </c>
      <c r="N43" s="41" t="s">
        <v>79</v>
      </c>
      <c r="O43" s="48" t="s">
        <v>80</v>
      </c>
      <c r="P43" s="49" t="s">
        <v>81</v>
      </c>
      <c r="Q43" s="49" t="s">
        <v>82</v>
      </c>
      <c r="R43" s="49" t="s">
        <v>83</v>
      </c>
      <c r="S43" s="50"/>
      <c r="T43" s="51"/>
      <c r="U43" s="51"/>
      <c r="V43" s="51"/>
      <c r="W43" s="51"/>
      <c r="X43" s="51"/>
      <c r="Y43" s="51"/>
      <c r="Z43" s="51"/>
      <c r="AA43" s="51"/>
      <c r="AB43" s="51"/>
    </row>
    <row r="44" spans="1:30" ht="15.5" x14ac:dyDescent="0.35">
      <c r="A44" s="52">
        <v>0</v>
      </c>
      <c r="B44" s="53" t="s">
        <v>54</v>
      </c>
      <c r="C44" s="54" t="s">
        <v>54</v>
      </c>
      <c r="D44" s="173" t="s">
        <v>54</v>
      </c>
      <c r="E44" s="56">
        <v>0</v>
      </c>
      <c r="F44" s="57">
        <f>IF((F33&gt;0),0,$F$31)</f>
        <v>0</v>
      </c>
      <c r="G44" s="58">
        <v>0</v>
      </c>
      <c r="H44" s="58">
        <f>IF(F32&gt;0,(F32),"")</f>
        <v>14400</v>
      </c>
      <c r="I44" s="58">
        <f>IF(OR(H44="",H44=0),0,F31-F32)</f>
        <v>800</v>
      </c>
      <c r="J44" s="59"/>
      <c r="K44" s="60">
        <f>IFERROR(F44+G44+I44+J44,J44)</f>
        <v>800</v>
      </c>
      <c r="L44" s="61" t="s">
        <v>54</v>
      </c>
      <c r="M44" s="172" t="s">
        <v>54</v>
      </c>
      <c r="N44" s="171" t="s">
        <v>54</v>
      </c>
      <c r="O44" s="64">
        <f>-K44</f>
        <v>-800</v>
      </c>
      <c r="P44" s="65">
        <f>$O44</f>
        <v>-800</v>
      </c>
      <c r="Q44" s="66" t="s">
        <v>54</v>
      </c>
      <c r="R44" s="52">
        <f t="shared" ref="R44:R74" si="0">IF(Q44&lt;0,1,0)</f>
        <v>0</v>
      </c>
      <c r="S44" s="67"/>
      <c r="T44" s="7"/>
      <c r="U44" s="3"/>
      <c r="V44" s="3"/>
      <c r="W44" s="3"/>
      <c r="X44" s="3"/>
      <c r="Y44" s="3"/>
      <c r="Z44" s="3"/>
      <c r="AA44" s="3"/>
      <c r="AB44" s="3"/>
      <c r="AC44" s="3"/>
    </row>
    <row r="45" spans="1:30" ht="15.5" x14ac:dyDescent="0.35">
      <c r="A45" s="52">
        <v>1</v>
      </c>
      <c r="B45" s="53">
        <f>F21</f>
        <v>17600</v>
      </c>
      <c r="C45" s="68">
        <f>(F14/100)</f>
        <v>8.7529999999999997E-2</v>
      </c>
      <c r="D45" s="55">
        <f t="shared" ref="D45:D74" si="1">B45*C45</f>
        <v>1540.528</v>
      </c>
      <c r="E45" s="56">
        <f>IF(OR(F33="",F33=0),"",E44+1)</f>
        <v>1</v>
      </c>
      <c r="F45" s="57">
        <f>IF(E45="","",$F$35)</f>
        <v>1440</v>
      </c>
      <c r="G45" s="58">
        <f>IF(E45="","",($F$32-F33)*$F$34)</f>
        <v>215.85</v>
      </c>
      <c r="H45" s="58">
        <f>IFERROR(ROUND(IF(E45="","",(H44-SUM(F44:F45))),2),"")</f>
        <v>12960</v>
      </c>
      <c r="I45" s="58"/>
      <c r="J45" s="59">
        <f t="shared" ref="J45:J57" si="2">$F$38</f>
        <v>100</v>
      </c>
      <c r="K45" s="60">
        <f>IFERROR(F45+G45+I45+J45,J45)</f>
        <v>1755.85</v>
      </c>
      <c r="L45" s="61">
        <f>F24/100</f>
        <v>0.02</v>
      </c>
      <c r="M45" s="62">
        <f t="shared" ref="M45:M74" si="3">B45*$F$23*L45</f>
        <v>35.200000000000003</v>
      </c>
      <c r="N45" s="63">
        <f t="shared" ref="N45:N74" si="4">D45*(1-$F$23)+M45</f>
        <v>1421.6752000000001</v>
      </c>
      <c r="O45" s="64">
        <f t="shared" ref="O45:O74" si="5">N45-K45</f>
        <v>-334.17479999999978</v>
      </c>
      <c r="P45" s="65">
        <f t="shared" ref="P45:P74" si="6">P44+$O45</f>
        <v>-1134.1747999999998</v>
      </c>
      <c r="Q45" s="69">
        <f>NPV($F$36,O44:O45)</f>
        <v>-1134.1747999999998</v>
      </c>
      <c r="R45" s="52">
        <f t="shared" si="0"/>
        <v>1</v>
      </c>
      <c r="S45" s="67"/>
      <c r="T45" s="7"/>
      <c r="U45" s="3"/>
      <c r="V45" s="3"/>
      <c r="W45" s="3"/>
      <c r="X45" s="3"/>
      <c r="Y45" s="3"/>
      <c r="Z45" s="3"/>
      <c r="AA45" s="3"/>
      <c r="AB45" s="3"/>
      <c r="AC45" s="3"/>
    </row>
    <row r="46" spans="1:30" ht="15.5" x14ac:dyDescent="0.35">
      <c r="A46" s="52">
        <v>2</v>
      </c>
      <c r="B46" s="53">
        <f t="shared" ref="B46:B74" si="7">$F$22*B45+B45</f>
        <v>17512</v>
      </c>
      <c r="C46" s="68">
        <f t="shared" ref="C46:C74" si="8">(1+$F$15)*C45</f>
        <v>8.9280600000000002E-2</v>
      </c>
      <c r="D46" s="55">
        <f t="shared" si="1"/>
        <v>1563.4818672000001</v>
      </c>
      <c r="E46" s="56">
        <f>IF(OR(H45="",H45=0),"",E45+1)</f>
        <v>2</v>
      </c>
      <c r="F46" s="57">
        <f t="shared" ref="F46:F63" si="9">IF(E46="","",$F$35)</f>
        <v>1440</v>
      </c>
      <c r="G46" s="58">
        <f>IF(E46="","",(($F$32-SUM($F$44:F46))*$F$34))</f>
        <v>172.79999999999998</v>
      </c>
      <c r="H46" s="58">
        <f>IFERROR(ROUND(IF(E46="","",(H44-SUM(F44:F46))),2),"")</f>
        <v>11520</v>
      </c>
      <c r="I46" s="58"/>
      <c r="J46" s="59">
        <f t="shared" si="2"/>
        <v>100</v>
      </c>
      <c r="K46" s="60">
        <f t="shared" ref="K46:K74" si="10">IFERROR(F46+G46+I46+J46,J46)</f>
        <v>1712.8</v>
      </c>
      <c r="L46" s="61">
        <f t="shared" ref="L46:L74" si="11">(1+$F$15)*L45</f>
        <v>2.0400000000000001E-2</v>
      </c>
      <c r="M46" s="62">
        <f t="shared" si="3"/>
        <v>35.724480000000007</v>
      </c>
      <c r="N46" s="63">
        <f t="shared" si="4"/>
        <v>1442.8581604800002</v>
      </c>
      <c r="O46" s="64">
        <f t="shared" si="5"/>
        <v>-269.9418395199998</v>
      </c>
      <c r="P46" s="65">
        <f t="shared" si="6"/>
        <v>-1404.1166395199996</v>
      </c>
      <c r="Q46" s="69">
        <f>NPV($F$36,O44:O46)</f>
        <v>-1404.1166395199996</v>
      </c>
      <c r="R46" s="52">
        <f t="shared" si="0"/>
        <v>1</v>
      </c>
      <c r="S46" s="67"/>
      <c r="T46" s="7"/>
      <c r="U46" s="3"/>
      <c r="V46" s="3"/>
      <c r="W46" s="3"/>
      <c r="X46" s="3"/>
      <c r="Y46" s="3"/>
      <c r="Z46" s="3"/>
      <c r="AA46" s="3"/>
      <c r="AB46" s="3"/>
      <c r="AC46" s="3"/>
    </row>
    <row r="47" spans="1:30" ht="15.5" x14ac:dyDescent="0.35">
      <c r="A47" s="52">
        <v>3</v>
      </c>
      <c r="B47" s="53">
        <f t="shared" si="7"/>
        <v>17424.439999999999</v>
      </c>
      <c r="C47" s="68">
        <f t="shared" si="8"/>
        <v>9.1066212000000007E-2</v>
      </c>
      <c r="D47" s="55">
        <f t="shared" si="1"/>
        <v>1586.77774702128</v>
      </c>
      <c r="E47" s="56">
        <f t="shared" ref="E47:E63" si="12">IF(OR(H46="",H46=0),"",E46+1)</f>
        <v>3</v>
      </c>
      <c r="F47" s="57">
        <f t="shared" si="9"/>
        <v>1440</v>
      </c>
      <c r="G47" s="58">
        <f>IF(E47="","",(($F$32-SUM($F$44:F47))*$F$34))</f>
        <v>151.19999999999999</v>
      </c>
      <c r="H47" s="58">
        <f>IFERROR(ROUND(IF(E47="","",(H44-SUM(F44:F47))),2),"")</f>
        <v>10080</v>
      </c>
      <c r="I47" s="58"/>
      <c r="J47" s="59">
        <f t="shared" si="2"/>
        <v>100</v>
      </c>
      <c r="K47" s="60">
        <f t="shared" si="10"/>
        <v>1691.2</v>
      </c>
      <c r="L47" s="61">
        <f t="shared" si="11"/>
        <v>2.0808000000000004E-2</v>
      </c>
      <c r="M47" s="62">
        <f t="shared" si="3"/>
        <v>36.256774752000005</v>
      </c>
      <c r="N47" s="63">
        <f t="shared" si="4"/>
        <v>1464.3567470711521</v>
      </c>
      <c r="O47" s="64">
        <f t="shared" si="5"/>
        <v>-226.84325292884796</v>
      </c>
      <c r="P47" s="65">
        <f t="shared" si="6"/>
        <v>-1630.9598924488475</v>
      </c>
      <c r="Q47" s="69">
        <f>NPV($F$36,O44:O47)</f>
        <v>-1630.9598924488475</v>
      </c>
      <c r="R47" s="52">
        <f t="shared" si="0"/>
        <v>1</v>
      </c>
      <c r="S47" s="67"/>
      <c r="T47" s="7"/>
      <c r="U47" s="3"/>
      <c r="V47" s="3"/>
      <c r="W47" s="3"/>
      <c r="X47" s="3"/>
      <c r="Y47" s="3"/>
      <c r="Z47" s="3"/>
      <c r="AA47" s="3"/>
      <c r="AB47" s="3"/>
      <c r="AC47" s="3"/>
    </row>
    <row r="48" spans="1:30" ht="15.5" x14ac:dyDescent="0.35">
      <c r="A48" s="52">
        <v>4</v>
      </c>
      <c r="B48" s="53">
        <f t="shared" si="7"/>
        <v>17337.317799999997</v>
      </c>
      <c r="C48" s="68">
        <f t="shared" si="8"/>
        <v>9.2887536240000013E-2</v>
      </c>
      <c r="D48" s="55">
        <f t="shared" si="1"/>
        <v>1610.4207354518969</v>
      </c>
      <c r="E48" s="56">
        <f t="shared" si="12"/>
        <v>4</v>
      </c>
      <c r="F48" s="57">
        <f t="shared" si="9"/>
        <v>1440</v>
      </c>
      <c r="G48" s="58">
        <f>IF(E48="","",(($F$32-SUM($F$44:F48))*$F$34))</f>
        <v>129.6</v>
      </c>
      <c r="H48" s="58">
        <f>IFERROR(ROUND(IF(E48="","",(H44-SUM(F44:F48))),2),"")</f>
        <v>8640</v>
      </c>
      <c r="I48" s="58"/>
      <c r="J48" s="59">
        <f t="shared" si="2"/>
        <v>100</v>
      </c>
      <c r="K48" s="60">
        <f t="shared" si="10"/>
        <v>1669.6</v>
      </c>
      <c r="L48" s="61">
        <f t="shared" si="11"/>
        <v>2.1224160000000002E-2</v>
      </c>
      <c r="M48" s="62">
        <f t="shared" si="3"/>
        <v>36.797000695804797</v>
      </c>
      <c r="N48" s="63">
        <f t="shared" si="4"/>
        <v>1486.1756626025121</v>
      </c>
      <c r="O48" s="64">
        <f t="shared" si="5"/>
        <v>-183.42433739748776</v>
      </c>
      <c r="P48" s="65">
        <f t="shared" si="6"/>
        <v>-1814.3842298463353</v>
      </c>
      <c r="Q48" s="69">
        <f>NPV($F$36,O44:O48)</f>
        <v>-1814.3842298463353</v>
      </c>
      <c r="R48" s="52">
        <f t="shared" si="0"/>
        <v>1</v>
      </c>
      <c r="S48" s="67"/>
      <c r="T48" s="7"/>
      <c r="U48" s="3"/>
      <c r="V48" s="3"/>
      <c r="W48" s="3"/>
      <c r="X48" s="3"/>
      <c r="Y48" s="3"/>
      <c r="Z48" s="3"/>
      <c r="AA48" s="3"/>
      <c r="AB48" s="3"/>
      <c r="AC48" s="3"/>
    </row>
    <row r="49" spans="1:29" ht="15.5" x14ac:dyDescent="0.35">
      <c r="A49" s="52">
        <v>5</v>
      </c>
      <c r="B49" s="53">
        <f t="shared" si="7"/>
        <v>17250.631210999996</v>
      </c>
      <c r="C49" s="68">
        <f t="shared" si="8"/>
        <v>9.4745286964800016E-2</v>
      </c>
      <c r="D49" s="55">
        <f t="shared" si="1"/>
        <v>1634.4160044101302</v>
      </c>
      <c r="E49" s="56">
        <f t="shared" si="12"/>
        <v>5</v>
      </c>
      <c r="F49" s="57">
        <f t="shared" si="9"/>
        <v>1440</v>
      </c>
      <c r="G49" s="58">
        <f>IF(E49="","",(($F$32-SUM($F$44:F49))*$F$34))</f>
        <v>108</v>
      </c>
      <c r="H49" s="58">
        <f>IFERROR(ROUND(IF(E49="","",(H44-SUM(F44:F49))),2),"")</f>
        <v>7200</v>
      </c>
      <c r="I49" s="58"/>
      <c r="J49" s="59">
        <f t="shared" si="2"/>
        <v>100</v>
      </c>
      <c r="K49" s="60">
        <f t="shared" si="10"/>
        <v>1648</v>
      </c>
      <c r="L49" s="61">
        <f t="shared" si="11"/>
        <v>2.1648643200000001E-2</v>
      </c>
      <c r="M49" s="62">
        <f t="shared" si="3"/>
        <v>37.345276006172291</v>
      </c>
      <c r="N49" s="63">
        <f t="shared" si="4"/>
        <v>1508.3196799752895</v>
      </c>
      <c r="O49" s="64">
        <f t="shared" si="5"/>
        <v>-139.68032002471045</v>
      </c>
      <c r="P49" s="65">
        <f t="shared" si="6"/>
        <v>-1954.0645498710458</v>
      </c>
      <c r="Q49" s="69">
        <f>NPV($F$36,O44:O49)</f>
        <v>-1954.0645498710458</v>
      </c>
      <c r="R49" s="52">
        <f t="shared" si="0"/>
        <v>1</v>
      </c>
      <c r="S49" s="67"/>
      <c r="T49" s="7"/>
      <c r="U49" s="3"/>
      <c r="V49" s="3"/>
      <c r="W49" s="3"/>
      <c r="X49" s="3"/>
      <c r="Y49" s="3"/>
      <c r="Z49" s="3"/>
      <c r="AA49" s="3"/>
      <c r="AB49" s="3"/>
      <c r="AC49" s="3"/>
    </row>
    <row r="50" spans="1:29" ht="15.5" x14ac:dyDescent="0.35">
      <c r="A50" s="52">
        <v>6</v>
      </c>
      <c r="B50" s="53">
        <f t="shared" si="7"/>
        <v>17164.378054944995</v>
      </c>
      <c r="C50" s="68">
        <f t="shared" si="8"/>
        <v>9.6640192704096017E-2</v>
      </c>
      <c r="D50" s="55">
        <f t="shared" si="1"/>
        <v>1658.7688028758412</v>
      </c>
      <c r="E50" s="56">
        <f t="shared" si="12"/>
        <v>6</v>
      </c>
      <c r="F50" s="57">
        <f t="shared" si="9"/>
        <v>1440</v>
      </c>
      <c r="G50" s="58">
        <f>IF(E50="","",(($F$32-SUM($F$44:F50))*$F$34))</f>
        <v>86.399999999999991</v>
      </c>
      <c r="H50" s="58">
        <f>IFERROR(ROUND(IF(E50="","",(H44-SUM(F44:F50))),2),"")</f>
        <v>5760</v>
      </c>
      <c r="I50" s="58"/>
      <c r="J50" s="59">
        <f t="shared" si="2"/>
        <v>100</v>
      </c>
      <c r="K50" s="60">
        <f t="shared" si="10"/>
        <v>1626.4</v>
      </c>
      <c r="L50" s="61">
        <f t="shared" si="11"/>
        <v>2.2081616064000002E-2</v>
      </c>
      <c r="M50" s="62">
        <f t="shared" si="3"/>
        <v>37.90172061866425</v>
      </c>
      <c r="N50" s="63">
        <f t="shared" si="4"/>
        <v>1530.7936432069214</v>
      </c>
      <c r="O50" s="64">
        <f t="shared" si="5"/>
        <v>-95.606356793078703</v>
      </c>
      <c r="P50" s="65">
        <f t="shared" si="6"/>
        <v>-2049.6709066641242</v>
      </c>
      <c r="Q50" s="69">
        <f>NPV($F$36,O44:O50)</f>
        <v>-2049.6709066641242</v>
      </c>
      <c r="R50" s="52">
        <f t="shared" si="0"/>
        <v>1</v>
      </c>
      <c r="S50" s="67"/>
      <c r="T50" s="7"/>
      <c r="U50" s="3"/>
      <c r="V50" s="3"/>
      <c r="W50" s="3"/>
      <c r="X50" s="3"/>
      <c r="Y50" s="3"/>
      <c r="Z50" s="3"/>
      <c r="AA50" s="3"/>
      <c r="AB50" s="3"/>
      <c r="AC50" s="3"/>
    </row>
    <row r="51" spans="1:29" ht="15.5" x14ac:dyDescent="0.35">
      <c r="A51" s="52">
        <v>7</v>
      </c>
      <c r="B51" s="53">
        <f t="shared" si="7"/>
        <v>17078.55616467027</v>
      </c>
      <c r="C51" s="68">
        <f t="shared" si="8"/>
        <v>9.8572996558177944E-2</v>
      </c>
      <c r="D51" s="55">
        <f t="shared" si="1"/>
        <v>1683.4844580386912</v>
      </c>
      <c r="E51" s="56">
        <f t="shared" si="12"/>
        <v>7</v>
      </c>
      <c r="F51" s="57">
        <f t="shared" si="9"/>
        <v>1440</v>
      </c>
      <c r="G51" s="58">
        <f>IF(E51="","",(($F$32-SUM($F$44:F51))*$F$34))</f>
        <v>64.8</v>
      </c>
      <c r="H51" s="58">
        <f>IFERROR(ROUND(IF(E51="","",(H44-SUM(F44:F51))),2),"")</f>
        <v>4320</v>
      </c>
      <c r="I51" s="58"/>
      <c r="J51" s="59">
        <f t="shared" si="2"/>
        <v>100</v>
      </c>
      <c r="K51" s="60">
        <f t="shared" si="10"/>
        <v>1604.8</v>
      </c>
      <c r="L51" s="61">
        <f t="shared" si="11"/>
        <v>2.2523248385280002E-2</v>
      </c>
      <c r="M51" s="62">
        <f t="shared" si="3"/>
        <v>38.466456255882349</v>
      </c>
      <c r="N51" s="63">
        <f t="shared" si="4"/>
        <v>1553.6024684907045</v>
      </c>
      <c r="O51" s="64">
        <f t="shared" si="5"/>
        <v>-51.197531509295459</v>
      </c>
      <c r="P51" s="65">
        <f t="shared" si="6"/>
        <v>-2100.8684381734197</v>
      </c>
      <c r="Q51" s="69">
        <f>NPV($F$36,O44:O51)</f>
        <v>-2100.8684381734197</v>
      </c>
      <c r="R51" s="52">
        <f t="shared" si="0"/>
        <v>1</v>
      </c>
      <c r="S51" s="67"/>
      <c r="T51" s="7"/>
      <c r="U51" s="3"/>
      <c r="V51" s="3"/>
      <c r="W51" s="3"/>
      <c r="X51" s="3"/>
      <c r="Y51" s="3"/>
      <c r="Z51" s="3"/>
      <c r="AA51" s="3"/>
      <c r="AB51" s="3"/>
      <c r="AC51" s="3"/>
    </row>
    <row r="52" spans="1:29" ht="15.5" x14ac:dyDescent="0.35">
      <c r="A52" s="52">
        <v>8</v>
      </c>
      <c r="B52" s="53">
        <f t="shared" si="7"/>
        <v>16993.163383846917</v>
      </c>
      <c r="C52" s="68">
        <f t="shared" si="8"/>
        <v>0.1005444564893415</v>
      </c>
      <c r="D52" s="55">
        <f t="shared" si="1"/>
        <v>1708.5683764634675</v>
      </c>
      <c r="E52" s="56">
        <f t="shared" si="12"/>
        <v>8</v>
      </c>
      <c r="F52" s="57">
        <f t="shared" si="9"/>
        <v>1440</v>
      </c>
      <c r="G52" s="58">
        <f>IF(E52="","",(($F$32-SUM($F$44:F52))*$F$34))</f>
        <v>43.199999999999996</v>
      </c>
      <c r="H52" s="58">
        <f>IFERROR(ROUND(IF(E52="","",(H44-SUM(F44:F52))),2),"")</f>
        <v>2880</v>
      </c>
      <c r="I52" s="58"/>
      <c r="J52" s="59">
        <f t="shared" si="2"/>
        <v>100</v>
      </c>
      <c r="K52" s="60">
        <f t="shared" si="10"/>
        <v>1583.2</v>
      </c>
      <c r="L52" s="61">
        <f t="shared" si="11"/>
        <v>2.2973713352985602E-2</v>
      </c>
      <c r="M52" s="62">
        <f t="shared" si="3"/>
        <v>39.039606454094994</v>
      </c>
      <c r="N52" s="63">
        <f t="shared" si="4"/>
        <v>1576.7511452712158</v>
      </c>
      <c r="O52" s="64">
        <f t="shared" si="5"/>
        <v>-6.4488547287842266</v>
      </c>
      <c r="P52" s="65">
        <f t="shared" si="6"/>
        <v>-2107.3172929022039</v>
      </c>
      <c r="Q52" s="69">
        <f>NPV($F$36,O44:O52)</f>
        <v>-2107.3172929022039</v>
      </c>
      <c r="R52" s="52">
        <f t="shared" si="0"/>
        <v>1</v>
      </c>
      <c r="S52" s="67"/>
      <c r="T52" s="7"/>
      <c r="U52" s="3"/>
      <c r="V52" s="3"/>
      <c r="W52" s="3"/>
      <c r="X52" s="3"/>
      <c r="Y52" s="3"/>
      <c r="Z52" s="3"/>
      <c r="AA52" s="3"/>
      <c r="AB52" s="3"/>
      <c r="AC52" s="3"/>
    </row>
    <row r="53" spans="1:29" ht="15.5" x14ac:dyDescent="0.35">
      <c r="A53" s="52">
        <v>9</v>
      </c>
      <c r="B53" s="53">
        <f t="shared" si="7"/>
        <v>16908.197566927684</v>
      </c>
      <c r="C53" s="68">
        <f t="shared" si="8"/>
        <v>0.10255534561912834</v>
      </c>
      <c r="D53" s="55">
        <f t="shared" si="1"/>
        <v>1734.0260452727734</v>
      </c>
      <c r="E53" s="56">
        <f t="shared" si="12"/>
        <v>9</v>
      </c>
      <c r="F53" s="57">
        <f t="shared" si="9"/>
        <v>1440</v>
      </c>
      <c r="G53" s="58">
        <f>IF(E53="","",(($F$32-SUM($F$44:F53))*$F$34))</f>
        <v>21.599999999999998</v>
      </c>
      <c r="H53" s="58">
        <f>IFERROR(ROUND(IF(E53="","",(H44-SUM(F44:F53))),2),"")</f>
        <v>1440</v>
      </c>
      <c r="I53" s="58"/>
      <c r="J53" s="59">
        <f t="shared" si="2"/>
        <v>100</v>
      </c>
      <c r="K53" s="60">
        <f t="shared" si="10"/>
        <v>1561.6</v>
      </c>
      <c r="L53" s="61">
        <f t="shared" si="11"/>
        <v>2.3433187620045315E-2</v>
      </c>
      <c r="M53" s="62">
        <f t="shared" si="3"/>
        <v>39.621296590261011</v>
      </c>
      <c r="N53" s="63">
        <f t="shared" si="4"/>
        <v>1600.244737335757</v>
      </c>
      <c r="O53" s="64">
        <f t="shared" si="5"/>
        <v>38.6447373357571</v>
      </c>
      <c r="P53" s="65">
        <f t="shared" si="6"/>
        <v>-2068.672555566447</v>
      </c>
      <c r="Q53" s="69">
        <f>NPV($F$36,O44:O53)</f>
        <v>-2068.672555566447</v>
      </c>
      <c r="R53" s="52">
        <f t="shared" si="0"/>
        <v>1</v>
      </c>
      <c r="S53" s="67"/>
      <c r="T53" s="7"/>
      <c r="U53" s="3"/>
      <c r="V53" s="3"/>
      <c r="W53" s="3"/>
      <c r="X53" s="3"/>
      <c r="Y53" s="3"/>
      <c r="Z53" s="3"/>
      <c r="AA53" s="3"/>
      <c r="AB53" s="3"/>
      <c r="AC53" s="3"/>
    </row>
    <row r="54" spans="1:29" ht="15.5" x14ac:dyDescent="0.35">
      <c r="A54" s="52">
        <v>10</v>
      </c>
      <c r="B54" s="53">
        <f t="shared" si="7"/>
        <v>16823.656579093044</v>
      </c>
      <c r="C54" s="68">
        <f t="shared" si="8"/>
        <v>0.10460645253151091</v>
      </c>
      <c r="D54" s="55">
        <f t="shared" si="1"/>
        <v>1759.8630333473377</v>
      </c>
      <c r="E54" s="56">
        <f t="shared" si="12"/>
        <v>10</v>
      </c>
      <c r="F54" s="57">
        <f t="shared" si="9"/>
        <v>1440</v>
      </c>
      <c r="G54" s="58">
        <f>IF(E54="","",(($F$32-SUM($F$44:F54))*$F$34))</f>
        <v>0</v>
      </c>
      <c r="H54" s="58">
        <f>IFERROR(ROUND(IF(E54="","",(H44-SUM(F44:F54))),2),"")</f>
        <v>0</v>
      </c>
      <c r="I54" s="58"/>
      <c r="J54" s="59">
        <f t="shared" si="2"/>
        <v>100</v>
      </c>
      <c r="K54" s="60">
        <f t="shared" si="10"/>
        <v>1540</v>
      </c>
      <c r="L54" s="61">
        <f t="shared" si="11"/>
        <v>2.3901851372446221E-2</v>
      </c>
      <c r="M54" s="62">
        <f t="shared" si="3"/>
        <v>40.211653909455897</v>
      </c>
      <c r="N54" s="63">
        <f t="shared" si="4"/>
        <v>1624.0883839220598</v>
      </c>
      <c r="O54" s="64">
        <f t="shared" si="5"/>
        <v>84.088383922059847</v>
      </c>
      <c r="P54" s="65">
        <f t="shared" si="6"/>
        <v>-1984.5841716443872</v>
      </c>
      <c r="Q54" s="69">
        <f>NPV($F$36,O44:O54)</f>
        <v>-1984.5841716443872</v>
      </c>
      <c r="R54" s="52">
        <f t="shared" si="0"/>
        <v>1</v>
      </c>
      <c r="S54" s="67"/>
      <c r="T54" s="7"/>
      <c r="U54" s="3"/>
      <c r="V54" s="3"/>
      <c r="W54" s="3"/>
      <c r="X54" s="3"/>
      <c r="Y54" s="3"/>
      <c r="Z54" s="3"/>
      <c r="AA54" s="3"/>
      <c r="AB54" s="3"/>
      <c r="AC54" s="3"/>
    </row>
    <row r="55" spans="1:29" ht="15.5" x14ac:dyDescent="0.35">
      <c r="A55" s="52">
        <v>11</v>
      </c>
      <c r="B55" s="53">
        <f t="shared" si="7"/>
        <v>16739.538296197577</v>
      </c>
      <c r="C55" s="68">
        <f t="shared" si="8"/>
        <v>0.10669858158214113</v>
      </c>
      <c r="D55" s="55">
        <f t="shared" si="1"/>
        <v>1786.0849925442128</v>
      </c>
      <c r="E55" s="56" t="str">
        <f t="shared" si="12"/>
        <v/>
      </c>
      <c r="F55" s="57" t="str">
        <f t="shared" si="9"/>
        <v/>
      </c>
      <c r="G55" s="58" t="str">
        <f>IF(E55="","",(($F$32-SUM($F$44:F55))*$F$34))</f>
        <v/>
      </c>
      <c r="H55" s="58" t="str">
        <f>IFERROR(ROUND(IF(E55="","",(H44-SUM(F44:F54))),2),"")</f>
        <v/>
      </c>
      <c r="I55" s="58"/>
      <c r="J55" s="59">
        <f t="shared" si="2"/>
        <v>100</v>
      </c>
      <c r="K55" s="60">
        <f t="shared" si="10"/>
        <v>100</v>
      </c>
      <c r="L55" s="61">
        <f t="shared" si="11"/>
        <v>2.4379888399895147E-2</v>
      </c>
      <c r="M55" s="62">
        <f t="shared" si="3"/>
        <v>40.810807552706791</v>
      </c>
      <c r="N55" s="63">
        <f t="shared" si="4"/>
        <v>1648.2873008424983</v>
      </c>
      <c r="O55" s="64">
        <f t="shared" si="5"/>
        <v>1548.2873008424983</v>
      </c>
      <c r="P55" s="65">
        <f t="shared" si="6"/>
        <v>-436.29687080188887</v>
      </c>
      <c r="Q55" s="69">
        <f>NPV($F$36,O44:O55)</f>
        <v>-436.29687080188887</v>
      </c>
      <c r="R55" s="52">
        <f t="shared" si="0"/>
        <v>1</v>
      </c>
      <c r="S55" s="67"/>
      <c r="T55" s="7"/>
      <c r="U55" s="3"/>
      <c r="V55" s="3"/>
      <c r="W55" s="3"/>
      <c r="X55" s="3"/>
      <c r="Y55" s="3"/>
      <c r="Z55" s="3"/>
      <c r="AA55" s="3"/>
      <c r="AB55" s="3"/>
      <c r="AC55" s="3"/>
    </row>
    <row r="56" spans="1:29" ht="15.5" x14ac:dyDescent="0.35">
      <c r="A56" s="52">
        <v>12</v>
      </c>
      <c r="B56" s="53">
        <f t="shared" si="7"/>
        <v>16655.840604716588</v>
      </c>
      <c r="C56" s="68">
        <f t="shared" si="8"/>
        <v>0.10883255321378395</v>
      </c>
      <c r="D56" s="55">
        <f t="shared" si="1"/>
        <v>1812.6976589331214</v>
      </c>
      <c r="E56" s="56" t="str">
        <f t="shared" si="12"/>
        <v/>
      </c>
      <c r="F56" s="57" t="str">
        <f t="shared" si="9"/>
        <v/>
      </c>
      <c r="G56" s="58" t="str">
        <f>IF(E56="","",(($F$32-SUM($F$44:F56))*$F$34))</f>
        <v/>
      </c>
      <c r="H56" s="58" t="str">
        <f>IFERROR(ROUND(IF(E56="","",(H44-SUM(F44:F55))),2),"")</f>
        <v/>
      </c>
      <c r="I56" s="58"/>
      <c r="J56" s="59">
        <f t="shared" si="2"/>
        <v>100</v>
      </c>
      <c r="K56" s="60">
        <f t="shared" si="10"/>
        <v>100</v>
      </c>
      <c r="L56" s="61">
        <f t="shared" si="11"/>
        <v>2.4867486167893051E-2</v>
      </c>
      <c r="M56" s="62">
        <f t="shared" si="3"/>
        <v>41.418888585242122</v>
      </c>
      <c r="N56" s="63">
        <f t="shared" si="4"/>
        <v>1672.8467816250513</v>
      </c>
      <c r="O56" s="64">
        <f t="shared" si="5"/>
        <v>1572.8467816250513</v>
      </c>
      <c r="P56" s="65">
        <f t="shared" si="6"/>
        <v>1136.5499108231625</v>
      </c>
      <c r="Q56" s="69">
        <f>NPV($F$36,O44:O56)</f>
        <v>1136.5499108231625</v>
      </c>
      <c r="R56" s="52">
        <f t="shared" si="0"/>
        <v>0</v>
      </c>
      <c r="S56" s="67"/>
      <c r="T56" s="7"/>
      <c r="U56" s="3"/>
      <c r="V56" s="3"/>
      <c r="W56" s="3"/>
      <c r="X56" s="3"/>
      <c r="Y56" s="3"/>
      <c r="Z56" s="3"/>
      <c r="AA56" s="3"/>
      <c r="AB56" s="3"/>
      <c r="AC56" s="3"/>
    </row>
    <row r="57" spans="1:29" ht="15.5" x14ac:dyDescent="0.35">
      <c r="A57" s="52">
        <v>13</v>
      </c>
      <c r="B57" s="53">
        <f t="shared" si="7"/>
        <v>16572.561401693005</v>
      </c>
      <c r="C57" s="68">
        <f t="shared" si="8"/>
        <v>0.11100920427805963</v>
      </c>
      <c r="D57" s="55">
        <f t="shared" si="1"/>
        <v>1839.706854051225</v>
      </c>
      <c r="E57" s="56" t="str">
        <f t="shared" si="12"/>
        <v/>
      </c>
      <c r="F57" s="57" t="str">
        <f t="shared" si="9"/>
        <v/>
      </c>
      <c r="G57" s="58" t="str">
        <f>IF(E57="","",(($F$32-SUM($F$44:F57))*$F$34))</f>
        <v/>
      </c>
      <c r="H57" s="58" t="str">
        <f>IFERROR(ROUND(IF(E57="","",(H44-SUM(F44:F56))),2),"")</f>
        <v/>
      </c>
      <c r="I57" s="58"/>
      <c r="J57" s="59">
        <f t="shared" si="2"/>
        <v>100</v>
      </c>
      <c r="K57" s="60">
        <f t="shared" si="10"/>
        <v>100</v>
      </c>
      <c r="L57" s="61">
        <f t="shared" si="11"/>
        <v>2.5364835891250912E-2</v>
      </c>
      <c r="M57" s="62">
        <f t="shared" si="3"/>
        <v>42.036030025162226</v>
      </c>
      <c r="N57" s="63">
        <f t="shared" si="4"/>
        <v>1697.772198671265</v>
      </c>
      <c r="O57" s="64">
        <f t="shared" si="5"/>
        <v>1597.772198671265</v>
      </c>
      <c r="P57" s="65">
        <f t="shared" si="6"/>
        <v>2734.3221094944274</v>
      </c>
      <c r="Q57" s="69">
        <f>NPV($F$36,O44:O57)</f>
        <v>2734.3221094944274</v>
      </c>
      <c r="R57" s="52">
        <f t="shared" si="0"/>
        <v>0</v>
      </c>
      <c r="S57" s="67"/>
      <c r="T57" s="7"/>
      <c r="U57" s="3"/>
      <c r="V57" s="3"/>
      <c r="W57" s="3"/>
      <c r="X57" s="3"/>
      <c r="Y57" s="3"/>
      <c r="Z57" s="3"/>
      <c r="AA57" s="3"/>
      <c r="AB57" s="3"/>
      <c r="AC57" s="3"/>
    </row>
    <row r="58" spans="1:29" ht="15.5" x14ac:dyDescent="0.35">
      <c r="A58" s="52">
        <v>14</v>
      </c>
      <c r="B58" s="53">
        <f t="shared" si="7"/>
        <v>16489.698594684542</v>
      </c>
      <c r="C58" s="68">
        <f t="shared" si="8"/>
        <v>0.11322938836362083</v>
      </c>
      <c r="D58" s="55">
        <f t="shared" si="1"/>
        <v>1867.1184861765885</v>
      </c>
      <c r="E58" s="56" t="str">
        <f t="shared" si="12"/>
        <v/>
      </c>
      <c r="F58" s="57" t="str">
        <f t="shared" si="9"/>
        <v/>
      </c>
      <c r="G58" s="58" t="str">
        <f>IF(E58="","",(($F$32-SUM($F$44:F58))*$F$34))</f>
        <v/>
      </c>
      <c r="H58" s="58" t="str">
        <f>IFERROR(ROUND(IF(E58="","",(H44-SUM(F44:F57))),2),"")</f>
        <v/>
      </c>
      <c r="I58" s="58"/>
      <c r="J58" s="59">
        <f>$F$38</f>
        <v>100</v>
      </c>
      <c r="K58" s="60">
        <f t="shared" si="10"/>
        <v>100</v>
      </c>
      <c r="L58" s="61">
        <f t="shared" si="11"/>
        <v>2.5872132609075931E-2</v>
      </c>
      <c r="M58" s="62">
        <f t="shared" si="3"/>
        <v>42.662366872537149</v>
      </c>
      <c r="N58" s="63">
        <f t="shared" si="4"/>
        <v>1723.0690044314667</v>
      </c>
      <c r="O58" s="64">
        <f t="shared" si="5"/>
        <v>1623.0690044314667</v>
      </c>
      <c r="P58" s="65">
        <f t="shared" si="6"/>
        <v>4357.3911139258944</v>
      </c>
      <c r="Q58" s="69">
        <f>NPV($F$36,O44:O58)</f>
        <v>4357.3911139258944</v>
      </c>
      <c r="R58" s="52">
        <f t="shared" si="0"/>
        <v>0</v>
      </c>
      <c r="S58" s="67"/>
      <c r="T58" s="7"/>
      <c r="U58" s="3"/>
      <c r="V58" s="3"/>
      <c r="W58" s="3"/>
      <c r="X58" s="3"/>
      <c r="Y58" s="3"/>
      <c r="Z58" s="3"/>
      <c r="AA58" s="3"/>
      <c r="AB58" s="3"/>
      <c r="AC58" s="3"/>
    </row>
    <row r="59" spans="1:29" ht="15.5" x14ac:dyDescent="0.35">
      <c r="A59" s="52">
        <v>15</v>
      </c>
      <c r="B59" s="53">
        <f t="shared" si="7"/>
        <v>16407.250101711117</v>
      </c>
      <c r="C59" s="68">
        <f t="shared" si="8"/>
        <v>0.11549397613089325</v>
      </c>
      <c r="D59" s="55">
        <f t="shared" si="1"/>
        <v>1894.9385516206196</v>
      </c>
      <c r="E59" s="56" t="str">
        <f t="shared" si="12"/>
        <v/>
      </c>
      <c r="F59" s="57" t="str">
        <f t="shared" si="9"/>
        <v/>
      </c>
      <c r="G59" s="58" t="str">
        <f>IF(E59="","",(($F$32-SUM($F$44:F59))*$F$34))</f>
        <v/>
      </c>
      <c r="H59" s="58" t="str">
        <f>IFERROR(ROUND(IF(E59="","",(H44-SUM(F44:F58))),2),"")</f>
        <v/>
      </c>
      <c r="I59" s="58"/>
      <c r="J59" s="59">
        <f>$F$38+F27*F37</f>
        <v>1620</v>
      </c>
      <c r="K59" s="60">
        <f t="shared" si="10"/>
        <v>1620</v>
      </c>
      <c r="L59" s="61">
        <f t="shared" si="11"/>
        <v>2.6389575261257452E-2</v>
      </c>
      <c r="M59" s="62">
        <f t="shared" si="3"/>
        <v>43.298036138937952</v>
      </c>
      <c r="N59" s="63">
        <f t="shared" si="4"/>
        <v>1748.7427325974957</v>
      </c>
      <c r="O59" s="64">
        <f t="shared" si="5"/>
        <v>128.74273259749566</v>
      </c>
      <c r="P59" s="65">
        <f t="shared" si="6"/>
        <v>4486.1338465233903</v>
      </c>
      <c r="Q59" s="69">
        <f>NPV($F$36,O44:O59)</f>
        <v>4486.1338465233903</v>
      </c>
      <c r="R59" s="52">
        <f t="shared" si="0"/>
        <v>0</v>
      </c>
      <c r="S59" s="67"/>
      <c r="T59" s="7"/>
      <c r="U59" s="3"/>
      <c r="V59" s="3"/>
      <c r="W59" s="3"/>
      <c r="X59" s="3"/>
      <c r="Y59" s="3"/>
      <c r="Z59" s="3"/>
      <c r="AA59" s="3"/>
      <c r="AB59" s="3"/>
      <c r="AC59" s="3"/>
    </row>
    <row r="60" spans="1:29" ht="15.5" x14ac:dyDescent="0.35">
      <c r="A60" s="52">
        <v>16</v>
      </c>
      <c r="B60" s="53">
        <f t="shared" si="7"/>
        <v>16325.213851202561</v>
      </c>
      <c r="C60" s="68">
        <f t="shared" si="8"/>
        <v>0.11780385565351112</v>
      </c>
      <c r="D60" s="55">
        <f t="shared" si="1"/>
        <v>1923.1731360397669</v>
      </c>
      <c r="E60" s="56" t="str">
        <f t="shared" si="12"/>
        <v/>
      </c>
      <c r="F60" s="57" t="str">
        <f t="shared" si="9"/>
        <v/>
      </c>
      <c r="G60" s="58" t="str">
        <f>IF(E60="","",(($F$32-SUM($F$44:F60))*$F$34))</f>
        <v/>
      </c>
      <c r="H60" s="58" t="str">
        <f>IFERROR(ROUND(IF(E60="","",(H44-SUM(F44:F59))),2),"")</f>
        <v/>
      </c>
      <c r="I60" s="58"/>
      <c r="J60" s="59">
        <f t="shared" ref="J60:J74" si="13">$F$38</f>
        <v>100</v>
      </c>
      <c r="K60" s="60">
        <f t="shared" si="10"/>
        <v>100</v>
      </c>
      <c r="L60" s="61">
        <f t="shared" si="11"/>
        <v>2.6917366766482601E-2</v>
      </c>
      <c r="M60" s="62">
        <f t="shared" si="3"/>
        <v>43.943176877408128</v>
      </c>
      <c r="N60" s="63">
        <f t="shared" si="4"/>
        <v>1774.7989993131985</v>
      </c>
      <c r="O60" s="64">
        <f t="shared" si="5"/>
        <v>1674.7989993131985</v>
      </c>
      <c r="P60" s="65">
        <f t="shared" si="6"/>
        <v>6160.932845836589</v>
      </c>
      <c r="Q60" s="69">
        <f>NPV($F$36,O44:O60)</f>
        <v>6160.932845836589</v>
      </c>
      <c r="R60" s="52">
        <f t="shared" si="0"/>
        <v>0</v>
      </c>
      <c r="S60" s="67"/>
      <c r="T60" s="7"/>
      <c r="U60" s="3"/>
      <c r="V60" s="3"/>
      <c r="W60" s="3"/>
      <c r="X60" s="3"/>
      <c r="Y60" s="3"/>
      <c r="Z60" s="3"/>
      <c r="AA60" s="3"/>
      <c r="AB60" s="3"/>
      <c r="AC60" s="3"/>
    </row>
    <row r="61" spans="1:29" ht="15.5" x14ac:dyDescent="0.35">
      <c r="A61" s="52">
        <v>17</v>
      </c>
      <c r="B61" s="53">
        <f t="shared" si="7"/>
        <v>16243.587781946548</v>
      </c>
      <c r="C61" s="68">
        <f t="shared" si="8"/>
        <v>0.12015993276658134</v>
      </c>
      <c r="D61" s="55">
        <f t="shared" si="1"/>
        <v>1951.8284157667592</v>
      </c>
      <c r="E61" s="56" t="str">
        <f t="shared" si="12"/>
        <v/>
      </c>
      <c r="F61" s="57" t="str">
        <f t="shared" si="9"/>
        <v/>
      </c>
      <c r="G61" s="58" t="str">
        <f>IF(E61="","",(($F$32-SUM($F$44:F61))*$F$34))</f>
        <v/>
      </c>
      <c r="H61" s="58" t="str">
        <f>IFERROR(ROUND(IF(E61="","",(H44-SUM(F44:F60))),2),"")</f>
        <v/>
      </c>
      <c r="I61" s="58"/>
      <c r="J61" s="59">
        <f t="shared" si="13"/>
        <v>100</v>
      </c>
      <c r="K61" s="60">
        <f t="shared" si="10"/>
        <v>100</v>
      </c>
      <c r="L61" s="61">
        <f t="shared" si="11"/>
        <v>2.7455714101812252E-2</v>
      </c>
      <c r="M61" s="62">
        <f t="shared" si="3"/>
        <v>44.597930212881508</v>
      </c>
      <c r="N61" s="63">
        <f t="shared" si="4"/>
        <v>1801.2435044029648</v>
      </c>
      <c r="O61" s="64">
        <f t="shared" si="5"/>
        <v>1701.2435044029648</v>
      </c>
      <c r="P61" s="65">
        <f t="shared" si="6"/>
        <v>7862.1763502395534</v>
      </c>
      <c r="Q61" s="69">
        <f>NPV($F$36,O44:O61)</f>
        <v>7862.1763502395534</v>
      </c>
      <c r="R61" s="52">
        <f t="shared" si="0"/>
        <v>0</v>
      </c>
      <c r="S61" s="67"/>
      <c r="T61" s="7"/>
      <c r="U61" s="3"/>
      <c r="V61" s="3"/>
      <c r="W61" s="3"/>
      <c r="X61" s="3"/>
      <c r="Y61" s="3"/>
      <c r="Z61" s="3"/>
      <c r="AA61" s="3"/>
      <c r="AB61" s="3"/>
      <c r="AC61" s="3"/>
    </row>
    <row r="62" spans="1:29" ht="15.5" x14ac:dyDescent="0.35">
      <c r="A62" s="52">
        <v>18</v>
      </c>
      <c r="B62" s="53">
        <f t="shared" si="7"/>
        <v>16162.369843036815</v>
      </c>
      <c r="C62" s="68">
        <f t="shared" si="8"/>
        <v>0.12256313142191297</v>
      </c>
      <c r="D62" s="55">
        <f t="shared" si="1"/>
        <v>1980.910659161684</v>
      </c>
      <c r="E62" s="56" t="str">
        <f t="shared" si="12"/>
        <v/>
      </c>
      <c r="F62" s="57" t="str">
        <f t="shared" si="9"/>
        <v/>
      </c>
      <c r="G62" s="58" t="str">
        <f>IF(E62="","",(($F$32-SUM($F$44:F62))*$F$34))</f>
        <v/>
      </c>
      <c r="H62" s="58" t="str">
        <f>IFERROR(ROUND(IF(E62="","",(H44-SUM(F44:F61))),2),"")</f>
        <v/>
      </c>
      <c r="I62" s="58"/>
      <c r="J62" s="59">
        <f t="shared" si="13"/>
        <v>100</v>
      </c>
      <c r="K62" s="60">
        <f t="shared" si="10"/>
        <v>100</v>
      </c>
      <c r="L62" s="61">
        <f t="shared" si="11"/>
        <v>2.8004828383848497E-2</v>
      </c>
      <c r="M62" s="62">
        <f t="shared" si="3"/>
        <v>45.262439373053439</v>
      </c>
      <c r="N62" s="63">
        <f t="shared" si="4"/>
        <v>1828.082032618569</v>
      </c>
      <c r="O62" s="64">
        <f t="shared" si="5"/>
        <v>1728.082032618569</v>
      </c>
      <c r="P62" s="65">
        <f t="shared" si="6"/>
        <v>9590.2583828581228</v>
      </c>
      <c r="Q62" s="69">
        <f>NPV($F$36,O44:O62)</f>
        <v>9590.2583828581228</v>
      </c>
      <c r="R62" s="52">
        <f t="shared" si="0"/>
        <v>0</v>
      </c>
      <c r="S62" s="67"/>
      <c r="T62" s="7"/>
      <c r="U62" s="3"/>
      <c r="V62" s="3"/>
      <c r="W62" s="3"/>
      <c r="X62" s="3"/>
      <c r="Y62" s="3"/>
      <c r="Z62" s="3"/>
      <c r="AA62" s="3"/>
      <c r="AB62" s="3"/>
      <c r="AC62" s="3"/>
    </row>
    <row r="63" spans="1:29" ht="15.5" x14ac:dyDescent="0.35">
      <c r="A63" s="52">
        <v>19</v>
      </c>
      <c r="B63" s="53">
        <f t="shared" si="7"/>
        <v>16081.557993821631</v>
      </c>
      <c r="C63" s="68">
        <f t="shared" si="8"/>
        <v>0.12501439405035122</v>
      </c>
      <c r="D63" s="55">
        <f t="shared" si="1"/>
        <v>2010.426227983193</v>
      </c>
      <c r="E63" s="56" t="str">
        <f t="shared" si="12"/>
        <v/>
      </c>
      <c r="F63" s="57" t="str">
        <f t="shared" si="9"/>
        <v/>
      </c>
      <c r="G63" s="58" t="str">
        <f>IF(E63="","",(($F$32-SUM($F$44:F63))*$F$34))</f>
        <v/>
      </c>
      <c r="H63" s="58" t="str">
        <f>IFERROR(ROUND(IF(E63="","",(H44-SUM(F44:F62))),2),"")</f>
        <v/>
      </c>
      <c r="I63" s="58"/>
      <c r="J63" s="59">
        <f t="shared" si="13"/>
        <v>100</v>
      </c>
      <c r="K63" s="60">
        <f t="shared" si="10"/>
        <v>100</v>
      </c>
      <c r="L63" s="61">
        <f t="shared" si="11"/>
        <v>2.8564924951525468E-2</v>
      </c>
      <c r="M63" s="62">
        <f t="shared" si="3"/>
        <v>45.936849719711937</v>
      </c>
      <c r="N63" s="63">
        <f t="shared" si="4"/>
        <v>1855.3204549045856</v>
      </c>
      <c r="O63" s="64">
        <f t="shared" si="5"/>
        <v>1755.3204549045856</v>
      </c>
      <c r="P63" s="65">
        <f t="shared" si="6"/>
        <v>11345.578837762709</v>
      </c>
      <c r="Q63" s="69">
        <f>NPV($F$36,O44:O63)</f>
        <v>11345.578837762709</v>
      </c>
      <c r="R63" s="52">
        <f t="shared" si="0"/>
        <v>0</v>
      </c>
      <c r="S63" s="67"/>
      <c r="T63" s="7"/>
      <c r="U63" s="3"/>
      <c r="V63" s="3"/>
      <c r="W63" s="3"/>
      <c r="X63" s="3"/>
      <c r="Y63" s="3"/>
      <c r="Z63" s="3"/>
      <c r="AA63" s="3"/>
      <c r="AB63" s="3"/>
      <c r="AC63" s="3"/>
    </row>
    <row r="64" spans="1:29" ht="15.5" x14ac:dyDescent="0.35">
      <c r="A64" s="52">
        <v>20</v>
      </c>
      <c r="B64" s="53">
        <f t="shared" si="7"/>
        <v>16001.150203852523</v>
      </c>
      <c r="C64" s="68">
        <f t="shared" si="8"/>
        <v>0.12751468193135826</v>
      </c>
      <c r="D64" s="55">
        <f t="shared" si="1"/>
        <v>2040.3815787801429</v>
      </c>
      <c r="E64" s="56"/>
      <c r="F64" s="57"/>
      <c r="G64" s="58" t="s">
        <v>54</v>
      </c>
      <c r="H64" s="58"/>
      <c r="I64" s="58"/>
      <c r="J64" s="59">
        <f t="shared" si="13"/>
        <v>100</v>
      </c>
      <c r="K64" s="60">
        <f t="shared" si="10"/>
        <v>100</v>
      </c>
      <c r="L64" s="61">
        <f t="shared" si="11"/>
        <v>2.9136223450555977E-2</v>
      </c>
      <c r="M64" s="62">
        <f t="shared" si="3"/>
        <v>46.621308780535642</v>
      </c>
      <c r="N64" s="63">
        <f t="shared" si="4"/>
        <v>1882.9647296826643</v>
      </c>
      <c r="O64" s="64">
        <f t="shared" si="5"/>
        <v>1782.9647296826643</v>
      </c>
      <c r="P64" s="65">
        <f t="shared" si="6"/>
        <v>13128.543567445373</v>
      </c>
      <c r="Q64" s="69">
        <f>NPV($F$36,O44:O64)</f>
        <v>13128.543567445373</v>
      </c>
      <c r="R64" s="52">
        <f t="shared" si="0"/>
        <v>0</v>
      </c>
      <c r="S64" s="67"/>
      <c r="T64" s="7"/>
      <c r="U64" s="3"/>
      <c r="V64" s="3"/>
      <c r="W64" s="3"/>
      <c r="X64" s="3"/>
      <c r="Y64" s="3"/>
      <c r="Z64" s="3"/>
      <c r="AA64" s="3"/>
      <c r="AB64" s="3"/>
      <c r="AC64" s="3"/>
    </row>
    <row r="65" spans="1:29" ht="15.5" x14ac:dyDescent="0.35">
      <c r="A65" s="52">
        <v>21</v>
      </c>
      <c r="B65" s="53">
        <f t="shared" si="7"/>
        <v>15921.144452833261</v>
      </c>
      <c r="C65" s="68">
        <f t="shared" si="8"/>
        <v>0.13006497556998542</v>
      </c>
      <c r="D65" s="55">
        <f t="shared" si="1"/>
        <v>2070.7832643039669</v>
      </c>
      <c r="E65" s="56"/>
      <c r="F65" s="57"/>
      <c r="G65" s="58" t="s">
        <v>54</v>
      </c>
      <c r="H65" s="58"/>
      <c r="I65" s="58"/>
      <c r="J65" s="59">
        <f t="shared" si="13"/>
        <v>100</v>
      </c>
      <c r="K65" s="60">
        <f t="shared" si="10"/>
        <v>100</v>
      </c>
      <c r="L65" s="61">
        <f t="shared" si="11"/>
        <v>2.9718947919567099E-2</v>
      </c>
      <c r="M65" s="62">
        <f t="shared" si="3"/>
        <v>47.315966281365633</v>
      </c>
      <c r="N65" s="63">
        <f t="shared" si="4"/>
        <v>1911.020904154936</v>
      </c>
      <c r="O65" s="64">
        <f t="shared" si="5"/>
        <v>1811.020904154936</v>
      </c>
      <c r="P65" s="65">
        <f t="shared" si="6"/>
        <v>14939.564471600308</v>
      </c>
      <c r="Q65" s="69">
        <f>NPV($F$36,O44:O65)</f>
        <v>14939.564471600308</v>
      </c>
      <c r="R65" s="52">
        <f t="shared" si="0"/>
        <v>0</v>
      </c>
      <c r="S65" s="67"/>
      <c r="T65" s="7"/>
      <c r="U65" s="3"/>
      <c r="V65" s="3"/>
      <c r="W65" s="3"/>
      <c r="X65" s="3"/>
      <c r="Y65" s="3"/>
      <c r="Z65" s="3"/>
      <c r="AA65" s="3"/>
      <c r="AB65" s="3"/>
      <c r="AC65" s="3"/>
    </row>
    <row r="66" spans="1:29" ht="15.5" x14ac:dyDescent="0.35">
      <c r="A66" s="52">
        <v>22</v>
      </c>
      <c r="B66" s="53">
        <f t="shared" si="7"/>
        <v>15841.538730569095</v>
      </c>
      <c r="C66" s="68">
        <f t="shared" si="8"/>
        <v>0.13266627508138512</v>
      </c>
      <c r="D66" s="55">
        <f t="shared" si="1"/>
        <v>2101.6379349420959</v>
      </c>
      <c r="E66" s="56"/>
      <c r="F66" s="57"/>
      <c r="G66" s="58" t="s">
        <v>54</v>
      </c>
      <c r="H66" s="58"/>
      <c r="I66" s="58"/>
      <c r="J66" s="59">
        <f t="shared" si="13"/>
        <v>100</v>
      </c>
      <c r="K66" s="60">
        <f t="shared" si="10"/>
        <v>100</v>
      </c>
      <c r="L66" s="61">
        <f t="shared" si="11"/>
        <v>3.031332687795844E-2</v>
      </c>
      <c r="M66" s="62">
        <f t="shared" si="3"/>
        <v>48.020974178957978</v>
      </c>
      <c r="N66" s="63">
        <f t="shared" si="4"/>
        <v>1939.4951156268442</v>
      </c>
      <c r="O66" s="64">
        <f t="shared" si="5"/>
        <v>1839.4951156268442</v>
      </c>
      <c r="P66" s="65">
        <f t="shared" si="6"/>
        <v>16779.059587227151</v>
      </c>
      <c r="Q66" s="69">
        <f>NPV($F$36,O44:O66)</f>
        <v>16779.059587227151</v>
      </c>
      <c r="R66" s="52">
        <f t="shared" si="0"/>
        <v>0</v>
      </c>
      <c r="S66" s="67"/>
      <c r="T66" s="7"/>
      <c r="U66" s="3"/>
      <c r="V66" s="3"/>
      <c r="W66" s="3"/>
      <c r="X66" s="3"/>
      <c r="Y66" s="3"/>
      <c r="Z66" s="3"/>
      <c r="AA66" s="3"/>
      <c r="AB66" s="3"/>
      <c r="AC66" s="3"/>
    </row>
    <row r="67" spans="1:29" ht="15.5" x14ac:dyDescent="0.35">
      <c r="A67" s="52">
        <v>23</v>
      </c>
      <c r="B67" s="53">
        <f t="shared" si="7"/>
        <v>15762.33103691625</v>
      </c>
      <c r="C67" s="68">
        <f t="shared" si="8"/>
        <v>0.13531960058301282</v>
      </c>
      <c r="D67" s="55">
        <f t="shared" si="1"/>
        <v>2132.9523401727333</v>
      </c>
      <c r="E67" s="56"/>
      <c r="F67" s="57"/>
      <c r="G67" s="58" t="s">
        <v>54</v>
      </c>
      <c r="H67" s="58"/>
      <c r="I67" s="58"/>
      <c r="J67" s="59">
        <f t="shared" si="13"/>
        <v>100</v>
      </c>
      <c r="K67" s="60">
        <f t="shared" si="10"/>
        <v>100</v>
      </c>
      <c r="L67" s="61">
        <f t="shared" si="11"/>
        <v>3.0919593415517609E-2</v>
      </c>
      <c r="M67" s="62">
        <f t="shared" si="3"/>
        <v>48.736486694224453</v>
      </c>
      <c r="N67" s="63">
        <f t="shared" si="4"/>
        <v>1968.3935928496844</v>
      </c>
      <c r="O67" s="64">
        <f t="shared" si="5"/>
        <v>1868.3935928496844</v>
      </c>
      <c r="P67" s="65">
        <f t="shared" si="6"/>
        <v>18647.453180076835</v>
      </c>
      <c r="Q67" s="69">
        <f>NPV($F$36,O44:O67)</f>
        <v>18647.453180076835</v>
      </c>
      <c r="R67" s="52">
        <f t="shared" si="0"/>
        <v>0</v>
      </c>
      <c r="S67" s="67"/>
      <c r="T67" s="7"/>
      <c r="U67" s="3"/>
      <c r="V67" s="3"/>
      <c r="W67" s="3"/>
      <c r="X67" s="3"/>
      <c r="Y67" s="3"/>
      <c r="Z67" s="3"/>
      <c r="AA67" s="3"/>
      <c r="AB67" s="3"/>
      <c r="AC67" s="3"/>
    </row>
    <row r="68" spans="1:29" ht="15.5" x14ac:dyDescent="0.35">
      <c r="A68" s="52">
        <v>24</v>
      </c>
      <c r="B68" s="53">
        <f t="shared" si="7"/>
        <v>15683.519381731669</v>
      </c>
      <c r="C68" s="68">
        <f t="shared" si="8"/>
        <v>0.13802599259467307</v>
      </c>
      <c r="D68" s="55">
        <f t="shared" si="1"/>
        <v>2164.733330041307</v>
      </c>
      <c r="E68" s="56"/>
      <c r="F68" s="57"/>
      <c r="G68" s="58" t="s">
        <v>54</v>
      </c>
      <c r="H68" s="58"/>
      <c r="I68" s="58"/>
      <c r="J68" s="59">
        <f t="shared" si="13"/>
        <v>100</v>
      </c>
      <c r="K68" s="60">
        <f t="shared" si="10"/>
        <v>100</v>
      </c>
      <c r="L68" s="61">
        <f t="shared" si="11"/>
        <v>3.1537985283827959E-2</v>
      </c>
      <c r="M68" s="62">
        <f t="shared" si="3"/>
        <v>49.462660345968395</v>
      </c>
      <c r="N68" s="63">
        <f t="shared" si="4"/>
        <v>1997.7226573831447</v>
      </c>
      <c r="O68" s="64">
        <f t="shared" si="5"/>
        <v>1897.7226573831447</v>
      </c>
      <c r="P68" s="65">
        <f t="shared" si="6"/>
        <v>20545.175837459978</v>
      </c>
      <c r="Q68" s="69">
        <f>NPV($F$36,O44:O68)</f>
        <v>20545.175837459978</v>
      </c>
      <c r="R68" s="52">
        <f t="shared" si="0"/>
        <v>0</v>
      </c>
      <c r="S68" s="67"/>
      <c r="T68" s="7"/>
      <c r="U68" s="3"/>
      <c r="V68" s="3"/>
      <c r="W68" s="3"/>
      <c r="X68" s="3"/>
      <c r="Y68" s="3"/>
      <c r="Z68" s="3"/>
      <c r="AA68" s="3"/>
      <c r="AB68" s="3"/>
      <c r="AC68" s="3"/>
    </row>
    <row r="69" spans="1:29" ht="15.5" x14ac:dyDescent="0.35">
      <c r="A69" s="52">
        <v>25</v>
      </c>
      <c r="B69" s="53">
        <f t="shared" si="7"/>
        <v>15605.101784823009</v>
      </c>
      <c r="C69" s="68">
        <f t="shared" si="8"/>
        <v>0.14078651244656654</v>
      </c>
      <c r="D69" s="55">
        <f t="shared" si="1"/>
        <v>2196.9878566589223</v>
      </c>
      <c r="E69" s="56"/>
      <c r="F69" s="57"/>
      <c r="G69" s="58" t="s">
        <v>54</v>
      </c>
      <c r="H69" s="58"/>
      <c r="I69" s="58"/>
      <c r="J69" s="59">
        <f t="shared" si="13"/>
        <v>100</v>
      </c>
      <c r="K69" s="60">
        <f t="shared" si="10"/>
        <v>100</v>
      </c>
      <c r="L69" s="61">
        <f t="shared" si="11"/>
        <v>3.2168744989504519E-2</v>
      </c>
      <c r="M69" s="62">
        <f t="shared" si="3"/>
        <v>50.199653985123319</v>
      </c>
      <c r="N69" s="63">
        <f t="shared" si="4"/>
        <v>2027.4887249781534</v>
      </c>
      <c r="O69" s="64">
        <f t="shared" si="5"/>
        <v>1927.4887249781534</v>
      </c>
      <c r="P69" s="65">
        <f t="shared" si="6"/>
        <v>22472.664562438131</v>
      </c>
      <c r="Q69" s="69">
        <f>NPV($F$36,O44:O69)</f>
        <v>22472.664562438131</v>
      </c>
      <c r="R69" s="52">
        <f t="shared" si="0"/>
        <v>0</v>
      </c>
      <c r="S69" s="67"/>
      <c r="T69" s="7"/>
      <c r="U69" s="3"/>
      <c r="V69" s="3"/>
      <c r="W69" s="3"/>
      <c r="X69" s="3"/>
      <c r="Y69" s="3"/>
      <c r="Z69" s="3"/>
      <c r="AA69" s="3"/>
      <c r="AB69" s="3"/>
      <c r="AC69" s="3"/>
    </row>
    <row r="70" spans="1:29" ht="15.5" x14ac:dyDescent="0.35">
      <c r="A70" s="52">
        <v>26</v>
      </c>
      <c r="B70" s="53">
        <f t="shared" si="7"/>
        <v>15527.076275898895</v>
      </c>
      <c r="C70" s="68">
        <f t="shared" si="8"/>
        <v>0.14360224269549787</v>
      </c>
      <c r="D70" s="55">
        <f t="shared" si="1"/>
        <v>2229.7229757231403</v>
      </c>
      <c r="E70" s="56"/>
      <c r="F70" s="57"/>
      <c r="G70" s="58" t="s">
        <v>54</v>
      </c>
      <c r="H70" s="58"/>
      <c r="I70" s="58"/>
      <c r="J70" s="59">
        <f t="shared" si="13"/>
        <v>100</v>
      </c>
      <c r="K70" s="60">
        <f t="shared" si="10"/>
        <v>100</v>
      </c>
      <c r="L70" s="61">
        <f t="shared" si="11"/>
        <v>3.2812119889294611E-2</v>
      </c>
      <c r="M70" s="62">
        <f t="shared" si="3"/>
        <v>50.947628829501667</v>
      </c>
      <c r="N70" s="63">
        <f t="shared" si="4"/>
        <v>2057.6983069803282</v>
      </c>
      <c r="O70" s="64">
        <f t="shared" si="5"/>
        <v>1957.6983069803282</v>
      </c>
      <c r="P70" s="65">
        <f t="shared" si="6"/>
        <v>24430.362869418459</v>
      </c>
      <c r="Q70" s="69">
        <f>NPV($F$36,O44:O70)</f>
        <v>24430.362869418459</v>
      </c>
      <c r="R70" s="52">
        <f t="shared" si="0"/>
        <v>0</v>
      </c>
      <c r="S70" s="67"/>
      <c r="T70" s="7"/>
      <c r="U70" s="3"/>
      <c r="V70" s="3"/>
      <c r="W70" s="3"/>
      <c r="X70" s="3"/>
      <c r="Y70" s="3"/>
      <c r="Z70" s="3"/>
      <c r="AA70" s="3"/>
      <c r="AB70" s="3"/>
      <c r="AC70" s="3"/>
    </row>
    <row r="71" spans="1:29" ht="15.5" x14ac:dyDescent="0.35">
      <c r="A71" s="52">
        <v>27</v>
      </c>
      <c r="B71" s="53">
        <f t="shared" si="7"/>
        <v>15449.440894519401</v>
      </c>
      <c r="C71" s="68">
        <f t="shared" si="8"/>
        <v>0.14647428754940783</v>
      </c>
      <c r="D71" s="55">
        <f t="shared" si="1"/>
        <v>2262.9458480614153</v>
      </c>
      <c r="E71" s="56"/>
      <c r="F71" s="57"/>
      <c r="G71" s="58" t="s">
        <v>54</v>
      </c>
      <c r="H71" s="58"/>
      <c r="I71" s="58"/>
      <c r="J71" s="59">
        <f t="shared" si="13"/>
        <v>100</v>
      </c>
      <c r="K71" s="60">
        <f t="shared" si="10"/>
        <v>100</v>
      </c>
      <c r="L71" s="61">
        <f t="shared" si="11"/>
        <v>3.3468362287080507E-2</v>
      </c>
      <c r="M71" s="62">
        <f t="shared" si="3"/>
        <v>51.706748499061248</v>
      </c>
      <c r="N71" s="63">
        <f t="shared" si="4"/>
        <v>2088.3580117543352</v>
      </c>
      <c r="O71" s="64">
        <f t="shared" si="5"/>
        <v>1988.3580117543352</v>
      </c>
      <c r="P71" s="65">
        <f t="shared" si="6"/>
        <v>26418.720881172794</v>
      </c>
      <c r="Q71" s="69">
        <f>NPV($F$36,O44:O71)</f>
        <v>26418.720881172794</v>
      </c>
      <c r="R71" s="52">
        <f t="shared" si="0"/>
        <v>0</v>
      </c>
      <c r="S71" s="67"/>
      <c r="T71" s="7"/>
      <c r="U71" s="3"/>
      <c r="V71" s="3"/>
      <c r="W71" s="3"/>
      <c r="X71" s="3"/>
      <c r="Y71" s="3"/>
      <c r="Z71" s="3"/>
      <c r="AA71" s="3"/>
      <c r="AB71" s="3"/>
      <c r="AC71" s="3"/>
    </row>
    <row r="72" spans="1:29" ht="15.5" x14ac:dyDescent="0.35">
      <c r="A72" s="52">
        <v>28</v>
      </c>
      <c r="B72" s="53">
        <f t="shared" si="7"/>
        <v>15372.193690046804</v>
      </c>
      <c r="C72" s="68">
        <f t="shared" si="8"/>
        <v>0.149403773300396</v>
      </c>
      <c r="D72" s="55">
        <f t="shared" si="1"/>
        <v>2296.6637411975307</v>
      </c>
      <c r="E72" s="56"/>
      <c r="F72" s="57"/>
      <c r="G72" s="58" t="s">
        <v>54</v>
      </c>
      <c r="H72" s="58"/>
      <c r="I72" s="58"/>
      <c r="J72" s="59">
        <f t="shared" si="13"/>
        <v>100</v>
      </c>
      <c r="K72" s="60">
        <f t="shared" si="10"/>
        <v>100</v>
      </c>
      <c r="L72" s="61">
        <f t="shared" si="11"/>
        <v>3.4137729532822118E-2</v>
      </c>
      <c r="M72" s="62">
        <f t="shared" si="3"/>
        <v>52.47717905169727</v>
      </c>
      <c r="N72" s="63">
        <f t="shared" si="4"/>
        <v>2119.4745461294751</v>
      </c>
      <c r="O72" s="64">
        <f t="shared" si="5"/>
        <v>2019.4745461294751</v>
      </c>
      <c r="P72" s="65">
        <f t="shared" si="6"/>
        <v>28438.195427302271</v>
      </c>
      <c r="Q72" s="69">
        <f>NPV($F$36,O44:O72)</f>
        <v>28438.195427302271</v>
      </c>
      <c r="R72" s="70">
        <f t="shared" si="0"/>
        <v>0</v>
      </c>
      <c r="S72" s="67"/>
      <c r="T72" s="7"/>
      <c r="U72" s="3"/>
      <c r="V72" s="3"/>
      <c r="W72" s="3"/>
      <c r="X72" s="3"/>
      <c r="Y72" s="3"/>
      <c r="Z72" s="3"/>
      <c r="AA72" s="3"/>
      <c r="AB72" s="3"/>
      <c r="AC72" s="3"/>
    </row>
    <row r="73" spans="1:29" ht="15.5" x14ac:dyDescent="0.35">
      <c r="A73" s="52">
        <v>29</v>
      </c>
      <c r="B73" s="71">
        <f t="shared" si="7"/>
        <v>15295.332721596571</v>
      </c>
      <c r="C73" s="72">
        <f t="shared" si="8"/>
        <v>0.15239184876640394</v>
      </c>
      <c r="D73" s="73">
        <f t="shared" si="1"/>
        <v>2330.884030941374</v>
      </c>
      <c r="E73" s="74"/>
      <c r="F73" s="75"/>
      <c r="G73" s="76" t="s">
        <v>54</v>
      </c>
      <c r="H73" s="76"/>
      <c r="I73" s="76"/>
      <c r="J73" s="77">
        <f t="shared" si="13"/>
        <v>100</v>
      </c>
      <c r="K73" s="60">
        <f t="shared" si="10"/>
        <v>100</v>
      </c>
      <c r="L73" s="78">
        <f t="shared" si="11"/>
        <v>3.4820484123478559E-2</v>
      </c>
      <c r="M73" s="79">
        <f t="shared" si="3"/>
        <v>53.259089019567554</v>
      </c>
      <c r="N73" s="80">
        <f t="shared" si="4"/>
        <v>2151.054716866804</v>
      </c>
      <c r="O73" s="64">
        <f t="shared" si="5"/>
        <v>2051.054716866804</v>
      </c>
      <c r="P73" s="81">
        <f t="shared" si="6"/>
        <v>30489.250144169077</v>
      </c>
      <c r="Q73" s="69">
        <f>NPV($F$36,O44:O73)</f>
        <v>30489.250144169077</v>
      </c>
      <c r="R73" s="82">
        <f t="shared" si="0"/>
        <v>0</v>
      </c>
      <c r="S73" s="83"/>
      <c r="T73" s="84"/>
      <c r="U73" s="85"/>
      <c r="V73" s="85"/>
      <c r="W73" s="85"/>
      <c r="X73" s="85"/>
      <c r="Y73" s="85"/>
      <c r="Z73" s="85"/>
      <c r="AA73" s="85"/>
      <c r="AB73" s="85"/>
      <c r="AC73" s="85"/>
    </row>
    <row r="74" spans="1:29" ht="15.5" x14ac:dyDescent="0.35">
      <c r="A74" s="52">
        <v>30</v>
      </c>
      <c r="B74" s="71">
        <f t="shared" si="7"/>
        <v>15218.856057988589</v>
      </c>
      <c r="C74" s="72">
        <f t="shared" si="8"/>
        <v>0.15543968574173203</v>
      </c>
      <c r="D74" s="73">
        <f t="shared" si="1"/>
        <v>2365.6142030024012</v>
      </c>
      <c r="E74" s="74"/>
      <c r="F74" s="75"/>
      <c r="G74" s="76" t="s">
        <v>54</v>
      </c>
      <c r="H74" s="76"/>
      <c r="I74" s="76"/>
      <c r="J74" s="77">
        <f t="shared" si="13"/>
        <v>100</v>
      </c>
      <c r="K74" s="60">
        <f t="shared" si="10"/>
        <v>100</v>
      </c>
      <c r="L74" s="78">
        <f t="shared" si="11"/>
        <v>3.5516893805948128E-2</v>
      </c>
      <c r="M74" s="79">
        <f t="shared" si="3"/>
        <v>54.052649445959105</v>
      </c>
      <c r="N74" s="80">
        <f t="shared" si="4"/>
        <v>2183.1054321481201</v>
      </c>
      <c r="O74" s="64">
        <f t="shared" si="5"/>
        <v>2083.1054321481201</v>
      </c>
      <c r="P74" s="81">
        <f t="shared" si="6"/>
        <v>32572.355576317197</v>
      </c>
      <c r="Q74" s="69">
        <f>NPV($F$36,O44:O74)</f>
        <v>32572.355576317197</v>
      </c>
      <c r="R74" s="82">
        <f t="shared" si="0"/>
        <v>0</v>
      </c>
      <c r="S74" s="83"/>
      <c r="T74" s="84"/>
      <c r="U74" s="85"/>
      <c r="V74" s="85"/>
      <c r="W74" s="85"/>
      <c r="X74" s="85"/>
      <c r="Y74" s="85"/>
      <c r="Z74" s="85"/>
      <c r="AA74" s="85"/>
      <c r="AB74" s="85"/>
      <c r="AC74" s="85"/>
    </row>
    <row r="75" spans="1:29" ht="15.5" x14ac:dyDescent="0.35">
      <c r="A75" s="86" t="s">
        <v>84</v>
      </c>
      <c r="B75" s="87">
        <f>SUM(B44:B74)</f>
        <v>491447.64446026925</v>
      </c>
      <c r="C75" s="88"/>
      <c r="D75" s="89">
        <f>SUM(D44:D74)</f>
        <v>57740.527156183613</v>
      </c>
      <c r="E75" s="90"/>
      <c r="F75" s="90"/>
      <c r="G75" s="91">
        <f>SUM(G44:G74)</f>
        <v>993.44999999999993</v>
      </c>
      <c r="H75" s="91"/>
      <c r="I75" s="91"/>
      <c r="J75" s="92">
        <f>SUM(J44:J74)</f>
        <v>4520</v>
      </c>
      <c r="K75" s="91">
        <f>SUM(K44:K74)</f>
        <v>20713.449999999997</v>
      </c>
      <c r="L75" s="88"/>
      <c r="M75" s="91">
        <f>SUM(M44:M74)</f>
        <v>1319.331135751939</v>
      </c>
      <c r="N75" s="92">
        <f>SUM(N44:N74)</f>
        <v>53285.805576317201</v>
      </c>
      <c r="O75" s="93"/>
      <c r="P75" s="94"/>
      <c r="Q75" s="95"/>
      <c r="R75" s="96">
        <f>SUM(R44:R73)</f>
        <v>11</v>
      </c>
      <c r="S75" s="84"/>
      <c r="T75" s="84"/>
      <c r="U75" s="85"/>
      <c r="V75" s="85"/>
      <c r="W75" s="85"/>
      <c r="X75" s="85"/>
      <c r="Y75" s="85"/>
      <c r="Z75" s="85"/>
      <c r="AA75" s="85"/>
      <c r="AB75" s="85"/>
      <c r="AC75" s="85"/>
    </row>
    <row r="76" spans="1:29" ht="15.5" x14ac:dyDescent="0.35">
      <c r="A76" s="3"/>
      <c r="B76" s="3"/>
      <c r="C76" s="3"/>
      <c r="D76" s="3"/>
      <c r="E76" s="3"/>
      <c r="F76" s="3"/>
      <c r="G76" s="3"/>
      <c r="H76" s="3"/>
      <c r="I76" s="3"/>
      <c r="J76" s="3"/>
      <c r="K76" s="3"/>
      <c r="L76" s="3"/>
      <c r="M76" s="97"/>
      <c r="N76" s="3"/>
      <c r="O76" s="3"/>
      <c r="P76" s="3"/>
      <c r="Q76" s="3"/>
      <c r="R76" s="3"/>
      <c r="S76" s="3"/>
      <c r="T76" s="3"/>
      <c r="U76" s="3"/>
      <c r="V76" s="3"/>
      <c r="W76" s="3"/>
      <c r="X76" s="3"/>
      <c r="Y76" s="3"/>
      <c r="Z76" s="3"/>
    </row>
    <row r="77" spans="1:29" ht="16" thickBot="1" x14ac:dyDescent="0.4">
      <c r="A77" s="98" t="s">
        <v>85</v>
      </c>
      <c r="B77" s="3"/>
      <c r="C77" s="3"/>
      <c r="D77" s="3"/>
      <c r="E77" s="3"/>
      <c r="F77" s="3"/>
      <c r="G77" s="3"/>
      <c r="H77" s="3"/>
      <c r="I77" s="3"/>
      <c r="J77" s="3"/>
      <c r="K77" s="3"/>
      <c r="L77" s="3"/>
      <c r="M77" s="3"/>
      <c r="N77" s="3"/>
      <c r="O77" s="3"/>
      <c r="P77" s="3"/>
      <c r="Q77" s="3"/>
      <c r="R77" s="3"/>
      <c r="S77" s="3"/>
      <c r="T77" s="3"/>
      <c r="U77" s="3"/>
      <c r="V77" s="3"/>
      <c r="W77" s="3"/>
      <c r="X77" s="3"/>
      <c r="Y77" s="3"/>
      <c r="Z77" s="3"/>
    </row>
    <row r="78" spans="1:29" ht="15.5" x14ac:dyDescent="0.35">
      <c r="A78" s="148" t="s">
        <v>86</v>
      </c>
      <c r="B78" s="149"/>
      <c r="C78" s="149"/>
      <c r="D78" s="150"/>
      <c r="E78" s="99">
        <f>Q74</f>
        <v>32572.355576317197</v>
      </c>
      <c r="F78" s="100" t="s">
        <v>40</v>
      </c>
      <c r="G78" s="3"/>
      <c r="H78" s="3"/>
      <c r="I78" s="3"/>
      <c r="J78" s="3"/>
      <c r="K78" s="3"/>
      <c r="L78" s="3"/>
      <c r="M78" s="3"/>
      <c r="N78" s="3"/>
      <c r="O78" s="3"/>
      <c r="P78" s="3"/>
      <c r="Q78" s="3"/>
      <c r="R78" s="3"/>
      <c r="S78" s="3"/>
      <c r="T78" s="3"/>
      <c r="U78" s="3"/>
      <c r="V78" s="3"/>
      <c r="W78" s="3"/>
      <c r="X78" s="3"/>
      <c r="Y78" s="3"/>
      <c r="Z78" s="3"/>
    </row>
    <row r="79" spans="1:29" ht="15.5" x14ac:dyDescent="0.35">
      <c r="A79" s="151" t="s">
        <v>87</v>
      </c>
      <c r="B79" s="152"/>
      <c r="C79" s="152"/>
      <c r="D79" s="153"/>
      <c r="E79" s="101">
        <f>R75</f>
        <v>11</v>
      </c>
      <c r="F79" s="100" t="s">
        <v>50</v>
      </c>
      <c r="G79" s="3"/>
      <c r="H79" s="3"/>
      <c r="I79" s="3"/>
      <c r="J79" s="3"/>
      <c r="K79" s="3"/>
      <c r="L79" s="3"/>
      <c r="M79" s="3"/>
      <c r="N79" s="3"/>
      <c r="O79" s="3"/>
      <c r="P79" s="3"/>
      <c r="Q79" s="3"/>
      <c r="R79" s="3"/>
      <c r="S79" s="3"/>
      <c r="T79" s="3"/>
      <c r="U79" s="3"/>
      <c r="V79" s="3"/>
      <c r="W79" s="3"/>
      <c r="X79" s="3"/>
      <c r="Y79" s="3"/>
      <c r="Z79" s="3"/>
    </row>
    <row r="80" spans="1:29" ht="15.75" customHeight="1" x14ac:dyDescent="0.35">
      <c r="A80" s="154" t="s">
        <v>88</v>
      </c>
      <c r="B80" s="154"/>
      <c r="C80" s="154"/>
      <c r="D80" s="154"/>
      <c r="E80" s="102">
        <f>IRR(O44:O74,0.1)</f>
        <v>0.17928506497477459</v>
      </c>
      <c r="F80" s="103"/>
      <c r="G80" s="3"/>
      <c r="H80" s="3"/>
      <c r="I80" s="3"/>
      <c r="J80" s="3"/>
      <c r="K80" s="3"/>
      <c r="L80" s="3"/>
      <c r="M80" s="3"/>
      <c r="N80" s="3"/>
      <c r="O80" s="3"/>
      <c r="P80" s="3"/>
      <c r="Q80" s="3"/>
      <c r="R80" s="3"/>
      <c r="S80" s="3"/>
      <c r="T80" s="3"/>
      <c r="U80" s="3"/>
      <c r="V80" s="3"/>
      <c r="W80" s="3"/>
      <c r="X80" s="3"/>
      <c r="Y80" s="3"/>
      <c r="Z80" s="3"/>
    </row>
    <row r="81" spans="1:26" ht="15.75" customHeight="1" x14ac:dyDescent="0.35">
      <c r="A81" s="98" t="s">
        <v>89</v>
      </c>
      <c r="B81" s="104"/>
      <c r="C81" s="104"/>
      <c r="D81" s="105"/>
      <c r="E81" s="106"/>
      <c r="F81" s="103"/>
      <c r="G81" s="3"/>
      <c r="H81" s="3"/>
      <c r="I81" s="3"/>
      <c r="J81" s="3"/>
      <c r="K81" s="3"/>
      <c r="L81" s="3"/>
      <c r="M81" s="3"/>
      <c r="N81" s="3"/>
      <c r="O81" s="3"/>
      <c r="P81" s="3"/>
      <c r="Q81" s="3"/>
      <c r="R81" s="3"/>
      <c r="S81" s="3"/>
      <c r="T81" s="3"/>
      <c r="U81" s="3"/>
      <c r="V81" s="3"/>
      <c r="W81" s="3"/>
      <c r="X81" s="3"/>
      <c r="Y81" s="3"/>
      <c r="Z81" s="3"/>
    </row>
    <row r="82" spans="1:26" ht="15.75" customHeight="1" x14ac:dyDescent="0.35">
      <c r="A82" s="155" t="s">
        <v>90</v>
      </c>
      <c r="B82" s="139"/>
      <c r="C82" s="139"/>
      <c r="D82" s="140"/>
      <c r="E82" s="107">
        <f>K75*100/B75</f>
        <v>4.2147826393080949</v>
      </c>
      <c r="F82" s="108" t="s">
        <v>7</v>
      </c>
      <c r="G82" s="3"/>
      <c r="H82" s="3"/>
      <c r="I82" s="3"/>
      <c r="J82" s="3"/>
      <c r="K82" s="3"/>
      <c r="L82" s="3"/>
      <c r="M82" s="3"/>
      <c r="N82" s="3"/>
      <c r="O82" s="3"/>
      <c r="P82" s="3"/>
      <c r="Q82" s="3"/>
      <c r="R82" s="3"/>
      <c r="S82" s="3"/>
      <c r="T82" s="3"/>
      <c r="U82" s="3"/>
      <c r="V82" s="3"/>
      <c r="W82" s="3"/>
      <c r="X82" s="3"/>
      <c r="Y82" s="3"/>
      <c r="Z82" s="3"/>
    </row>
    <row r="83" spans="1:26" ht="15.75" customHeight="1" x14ac:dyDescent="0.35">
      <c r="A83" s="141" t="s">
        <v>91</v>
      </c>
      <c r="B83" s="139"/>
      <c r="C83" s="139"/>
      <c r="D83" s="140"/>
      <c r="E83" s="109">
        <f>AVERAGE(C44:C74)*100</f>
        <v>11.836413242761099</v>
      </c>
      <c r="F83" s="110" t="s">
        <v>92</v>
      </c>
      <c r="G83" s="3"/>
      <c r="H83" s="3"/>
      <c r="I83" s="3"/>
      <c r="J83" s="3"/>
      <c r="K83" s="3"/>
      <c r="L83" s="3"/>
      <c r="M83" s="3"/>
      <c r="N83" s="3"/>
      <c r="O83" s="3"/>
      <c r="P83" s="3"/>
      <c r="Q83" s="3"/>
      <c r="R83" s="3"/>
      <c r="S83" s="3"/>
      <c r="T83" s="3"/>
      <c r="U83" s="3"/>
      <c r="V83" s="3"/>
      <c r="W83" s="3"/>
      <c r="X83" s="3"/>
      <c r="Y83" s="3"/>
      <c r="Z83" s="3"/>
    </row>
    <row r="84" spans="1:26" ht="15.5" x14ac:dyDescent="0.3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5" x14ac:dyDescent="0.35">
      <c r="A85" s="17" t="s">
        <v>54</v>
      </c>
      <c r="B85" s="3"/>
      <c r="C85" s="3"/>
      <c r="D85" s="3"/>
      <c r="E85" s="3"/>
      <c r="F85" s="3"/>
      <c r="G85" s="3"/>
      <c r="H85" s="3"/>
      <c r="I85" s="3"/>
      <c r="J85" s="3"/>
      <c r="K85" s="3"/>
      <c r="L85" s="3"/>
      <c r="M85" s="3"/>
      <c r="N85" s="3"/>
      <c r="O85" s="3"/>
      <c r="P85" s="3"/>
      <c r="Q85" s="3"/>
      <c r="R85" s="3"/>
      <c r="S85" s="3"/>
      <c r="T85" s="3"/>
      <c r="U85" s="3"/>
      <c r="V85" s="3"/>
      <c r="W85" s="3"/>
      <c r="X85" s="3"/>
      <c r="Y85" s="3"/>
      <c r="Z85" s="3"/>
    </row>
    <row r="86" spans="1:26" ht="15.5" x14ac:dyDescent="0.35">
      <c r="A86" s="111" t="s">
        <v>93</v>
      </c>
      <c r="B86" s="112"/>
      <c r="C86" s="112"/>
      <c r="D86" s="112"/>
      <c r="E86" s="112"/>
      <c r="F86" s="112"/>
      <c r="G86" s="112"/>
      <c r="H86" s="112"/>
      <c r="I86" s="112"/>
      <c r="J86" s="3"/>
      <c r="K86" s="3"/>
      <c r="L86" s="3"/>
      <c r="M86" s="3"/>
      <c r="N86" s="3"/>
      <c r="O86" s="3"/>
      <c r="P86" s="3"/>
      <c r="Q86" s="3"/>
      <c r="R86" s="3"/>
      <c r="S86" s="3"/>
      <c r="T86" s="3"/>
      <c r="U86" s="3"/>
      <c r="V86" s="3"/>
      <c r="W86" s="3"/>
      <c r="X86" s="3"/>
      <c r="Y86" s="3"/>
      <c r="Z86" s="3"/>
    </row>
    <row r="87" spans="1:26" ht="15.5" x14ac:dyDescent="0.35">
      <c r="A87" s="142" t="s">
        <v>94</v>
      </c>
      <c r="B87" s="142"/>
      <c r="C87" s="142"/>
      <c r="D87" s="113">
        <f>158</f>
        <v>158</v>
      </c>
      <c r="E87" s="112" t="s">
        <v>95</v>
      </c>
      <c r="F87" s="112" t="s">
        <v>54</v>
      </c>
      <c r="G87" s="112" t="s">
        <v>96</v>
      </c>
      <c r="H87" s="112"/>
      <c r="I87" s="114" t="s">
        <v>97</v>
      </c>
      <c r="J87" s="3"/>
      <c r="K87" s="3"/>
      <c r="L87" s="3"/>
      <c r="M87" s="3"/>
      <c r="N87" s="3"/>
      <c r="O87" s="3"/>
      <c r="P87" s="3"/>
      <c r="Q87" s="3"/>
      <c r="R87" s="3"/>
      <c r="S87" s="3"/>
      <c r="T87" s="3"/>
      <c r="U87" s="3"/>
      <c r="V87" s="3"/>
      <c r="W87" s="3"/>
      <c r="X87" s="3"/>
      <c r="Y87" s="3"/>
      <c r="Z87" s="3"/>
    </row>
    <row r="88" spans="1:26" ht="15.5" x14ac:dyDescent="0.35">
      <c r="A88" s="142" t="s">
        <v>98</v>
      </c>
      <c r="B88" s="142"/>
      <c r="C88" s="142"/>
      <c r="D88" s="113">
        <v>164</v>
      </c>
      <c r="E88" s="112" t="s">
        <v>95</v>
      </c>
      <c r="F88" s="112"/>
      <c r="G88" s="112"/>
      <c r="H88" s="112"/>
      <c r="I88" s="112"/>
      <c r="J88" s="3"/>
      <c r="K88" s="3"/>
      <c r="L88" s="3"/>
      <c r="M88" s="3"/>
      <c r="N88" s="3"/>
      <c r="O88" s="3"/>
      <c r="P88" s="3"/>
      <c r="Q88" s="3"/>
      <c r="R88" s="3"/>
      <c r="S88" s="3"/>
      <c r="T88" s="3"/>
      <c r="U88" s="3"/>
      <c r="V88" s="3"/>
      <c r="W88" s="3"/>
      <c r="X88" s="3"/>
      <c r="Y88" s="3"/>
      <c r="Z88" s="3"/>
    </row>
    <row r="89" spans="1:26" ht="15.5" x14ac:dyDescent="0.35">
      <c r="A89" s="142" t="s">
        <v>99</v>
      </c>
      <c r="B89" s="142"/>
      <c r="C89" s="142"/>
      <c r="D89" s="115">
        <v>261.72000000000003</v>
      </c>
      <c r="E89" s="112" t="s">
        <v>95</v>
      </c>
      <c r="F89" s="112"/>
      <c r="G89" s="112"/>
      <c r="H89" s="112"/>
      <c r="I89" s="112"/>
      <c r="J89" s="3"/>
      <c r="K89" s="3"/>
      <c r="L89" s="3"/>
      <c r="M89" s="3"/>
      <c r="N89" s="3"/>
      <c r="O89" s="3"/>
      <c r="P89" s="3"/>
      <c r="Q89" s="3"/>
      <c r="R89" s="3"/>
      <c r="S89" s="3"/>
      <c r="T89" s="3"/>
      <c r="U89" s="3"/>
      <c r="V89" s="3"/>
      <c r="W89" s="3"/>
      <c r="X89" s="3"/>
      <c r="Y89" s="3"/>
      <c r="Z89" s="3"/>
    </row>
    <row r="90" spans="1:26" ht="15.5" x14ac:dyDescent="0.35">
      <c r="A90" s="142" t="s">
        <v>100</v>
      </c>
      <c r="B90" s="142"/>
      <c r="C90" s="142"/>
      <c r="D90" s="115">
        <f>(F21*D87)/1000</f>
        <v>2780.8</v>
      </c>
      <c r="E90" s="112" t="s">
        <v>101</v>
      </c>
      <c r="F90" s="112" t="s">
        <v>54</v>
      </c>
      <c r="G90" s="112"/>
      <c r="H90" s="112"/>
      <c r="I90" s="112"/>
      <c r="J90" s="3"/>
      <c r="K90" s="3"/>
      <c r="L90" s="3"/>
      <c r="M90" s="3"/>
      <c r="N90" s="3"/>
      <c r="O90" s="3"/>
      <c r="P90" s="3"/>
      <c r="Q90" s="3"/>
      <c r="R90" s="3"/>
      <c r="S90" s="3"/>
      <c r="T90" s="3"/>
      <c r="U90" s="3"/>
      <c r="V90" s="3"/>
      <c r="W90" s="3"/>
      <c r="X90" s="3"/>
      <c r="Y90" s="3"/>
      <c r="Z90" s="3"/>
    </row>
    <row r="91" spans="1:26" ht="15.5" x14ac:dyDescent="0.35">
      <c r="A91" s="142" t="s">
        <v>102</v>
      </c>
      <c r="B91" s="142"/>
      <c r="C91" s="142"/>
      <c r="D91" s="115">
        <f>(F21*D87)/1000-0</f>
        <v>2780.8</v>
      </c>
      <c r="E91" s="112" t="s">
        <v>101</v>
      </c>
      <c r="F91" s="112"/>
      <c r="G91" s="112"/>
      <c r="H91" s="112"/>
      <c r="I91" s="112"/>
      <c r="J91" s="3"/>
      <c r="K91" s="3"/>
      <c r="L91" s="3"/>
      <c r="M91" s="3"/>
      <c r="N91" s="3"/>
      <c r="O91" s="3"/>
      <c r="P91" s="3"/>
      <c r="Q91" s="3"/>
      <c r="R91" s="3"/>
      <c r="S91" s="3"/>
      <c r="T91" s="3"/>
      <c r="U91" s="3"/>
      <c r="V91" s="3"/>
      <c r="W91" s="3"/>
      <c r="X91" s="3"/>
      <c r="Y91" s="3"/>
      <c r="Z91" s="3"/>
    </row>
    <row r="92" spans="1:26" ht="15.5" x14ac:dyDescent="0.35">
      <c r="A92" s="116" t="s">
        <v>54</v>
      </c>
      <c r="B92" s="85"/>
      <c r="C92" s="85"/>
      <c r="D92" s="85"/>
      <c r="E92" s="3"/>
      <c r="F92" s="3"/>
      <c r="G92" s="3"/>
      <c r="H92" s="3"/>
      <c r="I92" s="3"/>
      <c r="J92" s="3"/>
      <c r="K92" s="3"/>
      <c r="L92" s="3"/>
      <c r="M92" s="3"/>
      <c r="N92" s="3"/>
      <c r="O92" s="3"/>
      <c r="P92" s="3"/>
      <c r="Q92" s="3"/>
      <c r="R92" s="3"/>
      <c r="S92" s="3"/>
      <c r="T92" s="3"/>
      <c r="U92" s="3"/>
      <c r="V92" s="3"/>
      <c r="W92" s="3"/>
      <c r="X92" s="3"/>
      <c r="Y92" s="3"/>
      <c r="Z92" s="3"/>
    </row>
    <row r="93" spans="1:26" ht="15.5" x14ac:dyDescent="0.35">
      <c r="A93" s="98"/>
      <c r="B93" s="3"/>
      <c r="C93" s="3"/>
      <c r="D93" s="3"/>
      <c r="E93" s="3"/>
      <c r="F93" s="3"/>
      <c r="G93" s="3"/>
      <c r="H93" s="3"/>
      <c r="I93" s="3"/>
      <c r="J93" s="3"/>
      <c r="K93" s="3"/>
      <c r="L93" s="3"/>
      <c r="M93" s="3"/>
      <c r="N93" s="3"/>
      <c r="O93" s="3"/>
      <c r="P93" s="3"/>
      <c r="Q93" s="3"/>
      <c r="R93" s="3"/>
      <c r="S93" s="3"/>
      <c r="T93" s="3"/>
      <c r="U93" s="3"/>
      <c r="V93" s="3"/>
      <c r="W93" s="3"/>
      <c r="X93" s="3"/>
      <c r="Y93" s="3"/>
      <c r="Z93" s="3"/>
    </row>
    <row r="94" spans="1:26" ht="15.5" x14ac:dyDescent="0.35">
      <c r="A94" s="5" t="s">
        <v>103</v>
      </c>
      <c r="B94" s="3"/>
      <c r="C94" s="3"/>
      <c r="D94" s="3"/>
      <c r="E94" s="3"/>
      <c r="F94" s="3"/>
      <c r="G94" s="3"/>
      <c r="H94" s="3"/>
      <c r="I94" s="3"/>
      <c r="J94" s="3"/>
      <c r="K94" s="3"/>
      <c r="L94" s="3"/>
      <c r="M94" s="3"/>
      <c r="N94" s="3"/>
      <c r="O94" s="3"/>
      <c r="P94" s="3"/>
      <c r="Q94" s="3"/>
      <c r="R94" s="3"/>
      <c r="S94" s="3"/>
      <c r="T94" s="3"/>
      <c r="U94" s="3"/>
      <c r="V94" s="3"/>
      <c r="W94" s="3"/>
      <c r="X94" s="3"/>
      <c r="Y94" s="3"/>
      <c r="Z94" s="3"/>
    </row>
    <row r="95" spans="1:26" ht="15.5" x14ac:dyDescent="0.35">
      <c r="A95" s="143" t="s">
        <v>104</v>
      </c>
      <c r="B95" s="139"/>
      <c r="C95" s="140"/>
      <c r="D95" s="117">
        <v>20000</v>
      </c>
      <c r="E95" s="15" t="s">
        <v>105</v>
      </c>
      <c r="F95" s="3" t="s">
        <v>106</v>
      </c>
      <c r="G95" s="3"/>
      <c r="H95" s="3"/>
      <c r="I95" s="3"/>
      <c r="J95" s="3"/>
      <c r="K95" s="3"/>
      <c r="L95" s="3"/>
      <c r="M95" s="3"/>
      <c r="N95" s="3"/>
      <c r="O95" s="3"/>
      <c r="P95" s="3"/>
      <c r="Q95" s="3"/>
      <c r="R95" s="3"/>
      <c r="S95" s="3"/>
      <c r="T95" s="3"/>
      <c r="U95" s="3"/>
      <c r="V95" s="3"/>
      <c r="W95" s="3"/>
      <c r="X95" s="3"/>
      <c r="Y95" s="3"/>
      <c r="Z95" s="3"/>
    </row>
    <row r="96" spans="1:26" ht="15.5" x14ac:dyDescent="0.35">
      <c r="A96" s="143" t="s">
        <v>107</v>
      </c>
      <c r="B96" s="139"/>
      <c r="C96" s="140"/>
      <c r="D96" s="21">
        <v>0.13</v>
      </c>
      <c r="E96" s="15" t="s">
        <v>32</v>
      </c>
      <c r="F96" s="3"/>
      <c r="G96" s="3"/>
      <c r="H96" s="3"/>
      <c r="I96" s="3"/>
      <c r="J96" s="3"/>
      <c r="K96" s="3"/>
      <c r="L96" s="3"/>
      <c r="M96" s="3"/>
      <c r="N96" s="3"/>
      <c r="O96" s="3"/>
      <c r="P96" s="3"/>
      <c r="Q96" s="3"/>
      <c r="R96" s="3"/>
      <c r="S96" s="3"/>
      <c r="T96" s="3"/>
      <c r="U96" s="3"/>
      <c r="V96" s="3"/>
      <c r="W96" s="3"/>
      <c r="X96" s="3"/>
      <c r="Y96" s="3"/>
      <c r="Z96" s="3"/>
    </row>
    <row r="97" spans="1:26" ht="15.5" x14ac:dyDescent="0.35">
      <c r="A97" s="143" t="s">
        <v>108</v>
      </c>
      <c r="B97" s="139"/>
      <c r="C97" s="140"/>
      <c r="D97" s="21">
        <v>0.4</v>
      </c>
      <c r="E97" s="3" t="s">
        <v>32</v>
      </c>
      <c r="F97" s="3" t="s">
        <v>109</v>
      </c>
      <c r="G97" s="3"/>
      <c r="H97" s="3"/>
      <c r="I97" s="3"/>
      <c r="J97" s="3"/>
      <c r="K97" s="3"/>
      <c r="L97" s="3"/>
      <c r="M97" s="3"/>
      <c r="N97" s="3"/>
      <c r="O97" s="3"/>
      <c r="P97" s="3"/>
      <c r="Q97" s="3"/>
      <c r="R97" s="3"/>
      <c r="S97" s="3"/>
      <c r="T97" s="3"/>
      <c r="U97" s="3"/>
      <c r="V97" s="3"/>
      <c r="W97" s="3"/>
      <c r="X97" s="3"/>
      <c r="Y97" s="3"/>
      <c r="Z97" s="3"/>
    </row>
    <row r="98" spans="1:26" ht="15.5" x14ac:dyDescent="0.35">
      <c r="A98" s="144" t="s">
        <v>110</v>
      </c>
      <c r="B98" s="139"/>
      <c r="C98" s="140"/>
      <c r="D98" s="52">
        <f>D95/250*1.7</f>
        <v>136</v>
      </c>
      <c r="E98" s="3" t="s">
        <v>25</v>
      </c>
      <c r="F98" s="3"/>
      <c r="G98" s="3"/>
      <c r="H98" s="3"/>
      <c r="I98" s="3"/>
      <c r="J98" s="3"/>
      <c r="K98" s="3"/>
      <c r="L98" s="3"/>
      <c r="M98" s="3"/>
      <c r="N98" s="3"/>
      <c r="O98" s="3"/>
      <c r="P98" s="3"/>
      <c r="Q98" s="3"/>
      <c r="R98" s="3"/>
      <c r="S98" s="3"/>
      <c r="T98" s="3"/>
      <c r="U98" s="3"/>
      <c r="V98" s="3"/>
      <c r="W98" s="3"/>
      <c r="X98" s="3"/>
      <c r="Y98" s="3"/>
      <c r="Z98" s="3"/>
    </row>
    <row r="99" spans="1:26" ht="15.5" x14ac:dyDescent="0.35">
      <c r="A99" s="34"/>
      <c r="B99" s="35"/>
      <c r="C99" s="35"/>
      <c r="D99" s="36"/>
      <c r="E99" s="3"/>
      <c r="F99" s="3"/>
      <c r="G99" s="3"/>
      <c r="H99" s="3"/>
      <c r="I99" s="3"/>
      <c r="J99" s="3"/>
      <c r="K99" s="3"/>
      <c r="L99" s="3"/>
      <c r="M99" s="3"/>
      <c r="N99" s="3"/>
      <c r="O99" s="3"/>
      <c r="P99" s="3"/>
      <c r="Q99" s="3"/>
      <c r="R99" s="3"/>
      <c r="S99" s="3"/>
      <c r="T99" s="3"/>
      <c r="U99" s="3"/>
      <c r="V99" s="3"/>
      <c r="W99" s="3"/>
      <c r="X99" s="3"/>
      <c r="Y99" s="3"/>
      <c r="Z99" s="3"/>
    </row>
    <row r="100" spans="1:26" ht="15.5" x14ac:dyDescent="0.35">
      <c r="A100" s="6"/>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84" x14ac:dyDescent="0.35">
      <c r="A101" s="118" t="s">
        <v>111</v>
      </c>
      <c r="B101" s="119" t="s">
        <v>112</v>
      </c>
      <c r="C101" s="119" t="s">
        <v>113</v>
      </c>
      <c r="D101" s="119" t="s">
        <v>114</v>
      </c>
      <c r="E101" s="119" t="s">
        <v>115</v>
      </c>
      <c r="F101" s="119" t="s">
        <v>116</v>
      </c>
      <c r="G101" s="120" t="s">
        <v>117</v>
      </c>
      <c r="H101" s="119" t="s">
        <v>118</v>
      </c>
      <c r="I101" s="119" t="s">
        <v>119</v>
      </c>
      <c r="J101" s="119" t="s">
        <v>120</v>
      </c>
      <c r="K101" s="119" t="s">
        <v>121</v>
      </c>
      <c r="L101" s="119" t="s">
        <v>122</v>
      </c>
      <c r="M101" s="7"/>
      <c r="N101" s="3"/>
      <c r="O101" s="3"/>
      <c r="P101" s="3"/>
      <c r="Q101" s="3"/>
      <c r="R101" s="3"/>
      <c r="S101" s="3"/>
      <c r="T101" s="3"/>
      <c r="U101" s="3"/>
      <c r="V101" s="3"/>
      <c r="W101" s="3"/>
      <c r="X101" s="3"/>
      <c r="Y101" s="3"/>
      <c r="Z101" s="3"/>
    </row>
    <row r="102" spans="1:26" ht="15.5" x14ac:dyDescent="0.35">
      <c r="A102" s="121" t="s">
        <v>123</v>
      </c>
      <c r="B102" s="52">
        <v>31</v>
      </c>
      <c r="C102" s="122">
        <f>0.09*F16</f>
        <v>7479</v>
      </c>
      <c r="D102" s="123">
        <v>0.32</v>
      </c>
      <c r="E102" s="8">
        <f>($F$14*10)</f>
        <v>87.53</v>
      </c>
      <c r="F102" s="8">
        <f>$F$24*10</f>
        <v>20</v>
      </c>
      <c r="G102" s="124">
        <f t="shared" ref="G102:G113" si="14">D102*B102*$D$98*$D$96</f>
        <v>175.38559999999998</v>
      </c>
      <c r="H102" s="125">
        <f t="shared" ref="H102:H113" si="15">IF(C102*$D$97-G102&gt;0, G102,$D$97*C102)</f>
        <v>175.38559999999998</v>
      </c>
      <c r="I102" s="125">
        <f t="shared" ref="I102:I113" si="16">G102-H102</f>
        <v>0</v>
      </c>
      <c r="J102" s="125">
        <f t="shared" ref="J102:J113" si="17">C102-H102</f>
        <v>7303.6144000000004</v>
      </c>
      <c r="K102" s="68">
        <f t="shared" ref="K102:K113" si="18">G102*E102/1000</f>
        <v>15.351501567999998</v>
      </c>
      <c r="L102" s="68">
        <f t="shared" ref="L102:L113" si="19">I102*F102/1000</f>
        <v>0</v>
      </c>
      <c r="M102" s="7"/>
      <c r="N102" s="3"/>
      <c r="O102" s="3"/>
      <c r="P102" s="3"/>
      <c r="Q102" s="3"/>
      <c r="R102" s="3"/>
      <c r="S102" s="3"/>
      <c r="T102" s="3"/>
      <c r="U102" s="3"/>
      <c r="V102" s="3"/>
      <c r="W102" s="3"/>
      <c r="X102" s="3"/>
      <c r="Y102" s="3"/>
      <c r="Z102" s="3"/>
    </row>
    <row r="103" spans="1:26" ht="15.5" x14ac:dyDescent="0.35">
      <c r="A103" s="121" t="s">
        <v>124</v>
      </c>
      <c r="B103" s="52">
        <v>28</v>
      </c>
      <c r="C103" s="122">
        <f>0.09*F16</f>
        <v>7479</v>
      </c>
      <c r="D103" s="123">
        <v>1.1000000000000001</v>
      </c>
      <c r="E103" s="8">
        <f t="shared" ref="E103:E113" si="20">($F$14*10)</f>
        <v>87.53</v>
      </c>
      <c r="F103" s="8">
        <f t="shared" ref="F103:F113" si="21">$F$24*10</f>
        <v>20</v>
      </c>
      <c r="G103" s="124">
        <f t="shared" si="14"/>
        <v>544.5440000000001</v>
      </c>
      <c r="H103" s="125">
        <f t="shared" si="15"/>
        <v>544.5440000000001</v>
      </c>
      <c r="I103" s="125">
        <f t="shared" si="16"/>
        <v>0</v>
      </c>
      <c r="J103" s="125">
        <f t="shared" si="17"/>
        <v>6934.4560000000001</v>
      </c>
      <c r="K103" s="68">
        <f t="shared" si="18"/>
        <v>47.663936320000005</v>
      </c>
      <c r="L103" s="68">
        <f t="shared" si="19"/>
        <v>0</v>
      </c>
      <c r="M103" s="7"/>
      <c r="N103" s="3"/>
      <c r="O103" s="3"/>
      <c r="P103" s="3"/>
      <c r="Q103" s="3"/>
      <c r="R103" s="3"/>
      <c r="S103" s="3"/>
      <c r="T103" s="3"/>
      <c r="U103" s="3"/>
      <c r="V103" s="3"/>
      <c r="W103" s="3"/>
      <c r="X103" s="3"/>
      <c r="Y103" s="3"/>
      <c r="Z103" s="3"/>
    </row>
    <row r="104" spans="1:26" ht="15.5" x14ac:dyDescent="0.35">
      <c r="A104" s="121" t="s">
        <v>125</v>
      </c>
      <c r="B104" s="52">
        <v>31</v>
      </c>
      <c r="C104" s="122">
        <f>0.084*F16</f>
        <v>6980.4000000000005</v>
      </c>
      <c r="D104" s="123">
        <v>2.44</v>
      </c>
      <c r="E104" s="8">
        <f t="shared" si="20"/>
        <v>87.53</v>
      </c>
      <c r="F104" s="8">
        <f t="shared" si="21"/>
        <v>20</v>
      </c>
      <c r="G104" s="124">
        <f t="shared" si="14"/>
        <v>1337.3152000000002</v>
      </c>
      <c r="H104" s="125">
        <f t="shared" si="15"/>
        <v>1337.3152000000002</v>
      </c>
      <c r="I104" s="125">
        <f t="shared" si="16"/>
        <v>0</v>
      </c>
      <c r="J104" s="125">
        <f t="shared" si="17"/>
        <v>5643.0848000000005</v>
      </c>
      <c r="K104" s="68">
        <f t="shared" si="18"/>
        <v>117.05519945600001</v>
      </c>
      <c r="L104" s="68">
        <f t="shared" si="19"/>
        <v>0</v>
      </c>
      <c r="M104" s="7"/>
      <c r="N104" s="3"/>
      <c r="O104" s="3"/>
      <c r="P104" s="3"/>
      <c r="Q104" s="3"/>
      <c r="R104" s="3"/>
      <c r="S104" s="3"/>
      <c r="T104" s="3"/>
      <c r="U104" s="3"/>
      <c r="V104" s="3"/>
      <c r="W104" s="3"/>
      <c r="X104" s="3"/>
      <c r="Y104" s="3"/>
      <c r="Z104" s="3"/>
    </row>
    <row r="105" spans="1:26" ht="15.5" x14ac:dyDescent="0.35">
      <c r="A105" s="121" t="s">
        <v>126</v>
      </c>
      <c r="B105" s="52">
        <v>30</v>
      </c>
      <c r="C105" s="122">
        <f>0.084*F16</f>
        <v>6980.4000000000005</v>
      </c>
      <c r="D105" s="123">
        <v>3.96</v>
      </c>
      <c r="E105" s="8">
        <f t="shared" si="20"/>
        <v>87.53</v>
      </c>
      <c r="F105" s="8">
        <f t="shared" si="21"/>
        <v>20</v>
      </c>
      <c r="G105" s="124">
        <f t="shared" si="14"/>
        <v>2100.384</v>
      </c>
      <c r="H105" s="125">
        <f t="shared" si="15"/>
        <v>2100.384</v>
      </c>
      <c r="I105" s="125">
        <f t="shared" si="16"/>
        <v>0</v>
      </c>
      <c r="J105" s="125">
        <f t="shared" si="17"/>
        <v>4880.0160000000005</v>
      </c>
      <c r="K105" s="68">
        <f t="shared" si="18"/>
        <v>183.84661152000001</v>
      </c>
      <c r="L105" s="68">
        <f t="shared" si="19"/>
        <v>0</v>
      </c>
      <c r="M105" s="7"/>
      <c r="N105" s="3"/>
      <c r="O105" s="3"/>
      <c r="P105" s="3"/>
      <c r="Q105" s="3"/>
      <c r="R105" s="3"/>
      <c r="S105" s="3"/>
      <c r="T105" s="3"/>
      <c r="U105" s="3"/>
      <c r="V105" s="3"/>
      <c r="W105" s="3"/>
      <c r="X105" s="3"/>
      <c r="Y105" s="3"/>
      <c r="Z105" s="3"/>
    </row>
    <row r="106" spans="1:26" ht="15.5" x14ac:dyDescent="0.35">
      <c r="A106" s="121" t="s">
        <v>127</v>
      </c>
      <c r="B106" s="52">
        <v>31</v>
      </c>
      <c r="C106" s="122">
        <f>0.079*F16</f>
        <v>6564.9</v>
      </c>
      <c r="D106" s="123">
        <v>5.41</v>
      </c>
      <c r="E106" s="8">
        <f t="shared" si="20"/>
        <v>87.53</v>
      </c>
      <c r="F106" s="8">
        <f t="shared" si="21"/>
        <v>20</v>
      </c>
      <c r="G106" s="124">
        <f t="shared" si="14"/>
        <v>2965.1128000000003</v>
      </c>
      <c r="H106" s="125">
        <f t="shared" si="15"/>
        <v>2625.96</v>
      </c>
      <c r="I106" s="125">
        <f t="shared" si="16"/>
        <v>339.1528000000003</v>
      </c>
      <c r="J106" s="125">
        <f t="shared" si="17"/>
        <v>3938.9399999999996</v>
      </c>
      <c r="K106" s="68">
        <f t="shared" si="18"/>
        <v>259.53632338400007</v>
      </c>
      <c r="L106" s="68">
        <f t="shared" si="19"/>
        <v>6.7830560000000055</v>
      </c>
      <c r="M106" s="7"/>
      <c r="N106" s="3"/>
      <c r="O106" s="3"/>
      <c r="P106" s="3"/>
      <c r="Q106" s="3"/>
      <c r="R106" s="3"/>
      <c r="S106" s="3"/>
      <c r="T106" s="3"/>
      <c r="U106" s="3"/>
      <c r="V106" s="3"/>
      <c r="W106" s="3"/>
      <c r="X106" s="3"/>
      <c r="Y106" s="3"/>
      <c r="Z106" s="3"/>
    </row>
    <row r="107" spans="1:26" ht="15.5" x14ac:dyDescent="0.35">
      <c r="A107" s="121" t="s">
        <v>128</v>
      </c>
      <c r="B107" s="52">
        <v>30</v>
      </c>
      <c r="C107" s="122">
        <f>0.07*F16</f>
        <v>5817.0000000000009</v>
      </c>
      <c r="D107" s="123">
        <v>5.63</v>
      </c>
      <c r="E107" s="8">
        <f t="shared" si="20"/>
        <v>87.53</v>
      </c>
      <c r="F107" s="8">
        <f t="shared" si="21"/>
        <v>20</v>
      </c>
      <c r="G107" s="124">
        <f t="shared" si="14"/>
        <v>2986.1520000000005</v>
      </c>
      <c r="H107" s="125">
        <f t="shared" si="15"/>
        <v>2326.8000000000006</v>
      </c>
      <c r="I107" s="125">
        <f t="shared" si="16"/>
        <v>659.35199999999986</v>
      </c>
      <c r="J107" s="125">
        <f t="shared" si="17"/>
        <v>3490.2000000000003</v>
      </c>
      <c r="K107" s="68">
        <f t="shared" si="18"/>
        <v>261.37788456000004</v>
      </c>
      <c r="L107" s="68">
        <f t="shared" si="19"/>
        <v>13.187039999999998</v>
      </c>
      <c r="M107" s="7"/>
      <c r="N107" s="3"/>
      <c r="O107" s="3"/>
      <c r="P107" s="3"/>
      <c r="Q107" s="3"/>
      <c r="R107" s="3"/>
      <c r="S107" s="3"/>
      <c r="T107" s="3"/>
      <c r="U107" s="3"/>
      <c r="V107" s="3"/>
      <c r="W107" s="3"/>
      <c r="X107" s="3"/>
      <c r="Y107" s="3"/>
      <c r="Z107" s="3"/>
    </row>
    <row r="108" spans="1:26" ht="15.5" x14ac:dyDescent="0.35">
      <c r="A108" s="121" t="s">
        <v>129</v>
      </c>
      <c r="B108" s="52">
        <v>31</v>
      </c>
      <c r="C108" s="122">
        <f>0.07*F16</f>
        <v>5817.0000000000009</v>
      </c>
      <c r="D108" s="123">
        <v>5.6</v>
      </c>
      <c r="E108" s="8">
        <f t="shared" si="20"/>
        <v>87.53</v>
      </c>
      <c r="F108" s="8">
        <f t="shared" si="21"/>
        <v>20</v>
      </c>
      <c r="G108" s="124">
        <f t="shared" si="14"/>
        <v>3069.248</v>
      </c>
      <c r="H108" s="125">
        <f t="shared" si="15"/>
        <v>2326.8000000000006</v>
      </c>
      <c r="I108" s="125">
        <f t="shared" si="16"/>
        <v>742.44799999999941</v>
      </c>
      <c r="J108" s="125">
        <f t="shared" si="17"/>
        <v>3490.2000000000003</v>
      </c>
      <c r="K108" s="68">
        <f t="shared" si="18"/>
        <v>268.65127744000006</v>
      </c>
      <c r="L108" s="68">
        <f t="shared" si="19"/>
        <v>14.848959999999988</v>
      </c>
      <c r="M108" s="7"/>
      <c r="N108" s="3"/>
      <c r="O108" s="3"/>
      <c r="P108" s="3"/>
      <c r="Q108" s="3"/>
      <c r="R108" s="3"/>
      <c r="S108" s="3"/>
      <c r="T108" s="3"/>
      <c r="U108" s="3"/>
      <c r="V108" s="3"/>
      <c r="W108" s="3"/>
      <c r="X108" s="3"/>
      <c r="Y108" s="3"/>
      <c r="Z108" s="3"/>
    </row>
    <row r="109" spans="1:26" ht="15.5" x14ac:dyDescent="0.35">
      <c r="A109" s="121" t="s">
        <v>130</v>
      </c>
      <c r="B109" s="52">
        <v>31</v>
      </c>
      <c r="C109" s="122">
        <f>0.079*F16</f>
        <v>6564.9</v>
      </c>
      <c r="D109" s="123">
        <v>4.09</v>
      </c>
      <c r="E109" s="8">
        <f t="shared" si="20"/>
        <v>87.53</v>
      </c>
      <c r="F109" s="8">
        <f t="shared" si="21"/>
        <v>20</v>
      </c>
      <c r="G109" s="124">
        <f t="shared" si="14"/>
        <v>2241.6471999999999</v>
      </c>
      <c r="H109" s="125">
        <f t="shared" si="15"/>
        <v>2241.6471999999999</v>
      </c>
      <c r="I109" s="125">
        <f t="shared" si="16"/>
        <v>0</v>
      </c>
      <c r="J109" s="125">
        <f t="shared" si="17"/>
        <v>4323.2528000000002</v>
      </c>
      <c r="K109" s="68">
        <f t="shared" si="18"/>
        <v>196.21137941599997</v>
      </c>
      <c r="L109" s="68">
        <f t="shared" si="19"/>
        <v>0</v>
      </c>
      <c r="M109" s="7"/>
      <c r="N109" s="3"/>
      <c r="O109" s="3"/>
      <c r="P109" s="3"/>
      <c r="Q109" s="3"/>
      <c r="R109" s="3"/>
      <c r="S109" s="3"/>
      <c r="T109" s="3"/>
      <c r="U109" s="3"/>
      <c r="V109" s="3"/>
      <c r="W109" s="3"/>
      <c r="X109" s="3"/>
      <c r="Y109" s="3"/>
      <c r="Z109" s="3"/>
    </row>
    <row r="110" spans="1:26" ht="15.5" x14ac:dyDescent="0.35">
      <c r="A110" s="121" t="s">
        <v>131</v>
      </c>
      <c r="B110" s="52">
        <v>30</v>
      </c>
      <c r="C110" s="122">
        <f>0.084*F16</f>
        <v>6980.4000000000005</v>
      </c>
      <c r="D110" s="123">
        <v>2.54</v>
      </c>
      <c r="E110" s="8">
        <f t="shared" si="20"/>
        <v>87.53</v>
      </c>
      <c r="F110" s="8">
        <f t="shared" si="21"/>
        <v>20</v>
      </c>
      <c r="G110" s="124">
        <f t="shared" si="14"/>
        <v>1347.2160000000001</v>
      </c>
      <c r="H110" s="125">
        <f t="shared" si="15"/>
        <v>1347.2160000000001</v>
      </c>
      <c r="I110" s="125">
        <f t="shared" si="16"/>
        <v>0</v>
      </c>
      <c r="J110" s="125">
        <f t="shared" si="17"/>
        <v>5633.1840000000002</v>
      </c>
      <c r="K110" s="68">
        <f t="shared" si="18"/>
        <v>117.92181648</v>
      </c>
      <c r="L110" s="68">
        <f t="shared" si="19"/>
        <v>0</v>
      </c>
      <c r="M110" s="7"/>
      <c r="N110" s="3"/>
      <c r="O110" s="3"/>
      <c r="P110" s="3"/>
      <c r="Q110" s="3"/>
      <c r="R110" s="3"/>
      <c r="S110" s="3"/>
      <c r="T110" s="3"/>
      <c r="U110" s="3"/>
      <c r="V110" s="3"/>
      <c r="W110" s="3"/>
      <c r="X110" s="3"/>
      <c r="Y110" s="3"/>
      <c r="Z110" s="3"/>
    </row>
    <row r="111" spans="1:26" ht="15.5" x14ac:dyDescent="0.35">
      <c r="A111" s="121" t="s">
        <v>132</v>
      </c>
      <c r="B111" s="52">
        <v>31</v>
      </c>
      <c r="C111" s="122">
        <f>0.09*F16</f>
        <v>7479</v>
      </c>
      <c r="D111" s="123">
        <v>1.18</v>
      </c>
      <c r="E111" s="8">
        <f t="shared" si="20"/>
        <v>87.53</v>
      </c>
      <c r="F111" s="8">
        <f t="shared" si="21"/>
        <v>20</v>
      </c>
      <c r="G111" s="124">
        <f t="shared" si="14"/>
        <v>646.73440000000005</v>
      </c>
      <c r="H111" s="125">
        <f t="shared" si="15"/>
        <v>646.73440000000005</v>
      </c>
      <c r="I111" s="125">
        <f t="shared" si="16"/>
        <v>0</v>
      </c>
      <c r="J111" s="125">
        <f t="shared" si="17"/>
        <v>6832.2655999999997</v>
      </c>
      <c r="K111" s="68">
        <f t="shared" si="18"/>
        <v>56.608662032000005</v>
      </c>
      <c r="L111" s="68">
        <f t="shared" si="19"/>
        <v>0</v>
      </c>
      <c r="M111" s="7"/>
      <c r="N111" s="3"/>
      <c r="O111" s="3"/>
      <c r="P111" s="3"/>
      <c r="Q111" s="3"/>
      <c r="R111" s="3"/>
      <c r="S111" s="3"/>
      <c r="T111" s="3"/>
      <c r="U111" s="3"/>
      <c r="V111" s="3"/>
      <c r="W111" s="3"/>
      <c r="X111" s="3"/>
      <c r="Y111" s="3"/>
      <c r="Z111" s="3"/>
    </row>
    <row r="112" spans="1:26" ht="15.5" x14ac:dyDescent="0.35">
      <c r="A112" s="121" t="s">
        <v>133</v>
      </c>
      <c r="B112" s="52">
        <v>30</v>
      </c>
      <c r="C112" s="122">
        <f>0.09*F16</f>
        <v>7479</v>
      </c>
      <c r="D112" s="123">
        <v>0.5</v>
      </c>
      <c r="E112" s="8">
        <f t="shared" si="20"/>
        <v>87.53</v>
      </c>
      <c r="F112" s="8">
        <f t="shared" si="21"/>
        <v>20</v>
      </c>
      <c r="G112" s="124">
        <f t="shared" si="14"/>
        <v>265.2</v>
      </c>
      <c r="H112" s="125">
        <f t="shared" si="15"/>
        <v>265.2</v>
      </c>
      <c r="I112" s="125">
        <f t="shared" si="16"/>
        <v>0</v>
      </c>
      <c r="J112" s="125">
        <f t="shared" si="17"/>
        <v>7213.8</v>
      </c>
      <c r="K112" s="68">
        <f t="shared" si="18"/>
        <v>23.212955999999998</v>
      </c>
      <c r="L112" s="68">
        <f t="shared" si="19"/>
        <v>0</v>
      </c>
      <c r="M112" s="7"/>
      <c r="N112" s="3"/>
      <c r="O112" s="3"/>
      <c r="P112" s="3"/>
      <c r="Q112" s="3"/>
      <c r="R112" s="3"/>
      <c r="S112" s="3"/>
      <c r="T112" s="3"/>
      <c r="U112" s="3"/>
      <c r="V112" s="3"/>
      <c r="W112" s="3"/>
      <c r="X112" s="3"/>
      <c r="Y112" s="3"/>
      <c r="Z112" s="3"/>
    </row>
    <row r="113" spans="1:26" ht="15.5" x14ac:dyDescent="0.35">
      <c r="A113" s="121" t="s">
        <v>134</v>
      </c>
      <c r="B113" s="52">
        <v>31</v>
      </c>
      <c r="C113" s="122">
        <f>0.09*F16</f>
        <v>7479</v>
      </c>
      <c r="D113" s="123">
        <v>0.2</v>
      </c>
      <c r="E113" s="8">
        <f t="shared" si="20"/>
        <v>87.53</v>
      </c>
      <c r="F113" s="8">
        <f t="shared" si="21"/>
        <v>20</v>
      </c>
      <c r="G113" s="124">
        <f t="shared" si="14"/>
        <v>109.61600000000001</v>
      </c>
      <c r="H113" s="125">
        <f t="shared" si="15"/>
        <v>109.61600000000001</v>
      </c>
      <c r="I113" s="125">
        <f t="shared" si="16"/>
        <v>0</v>
      </c>
      <c r="J113" s="125">
        <f t="shared" si="17"/>
        <v>7369.384</v>
      </c>
      <c r="K113" s="68">
        <f t="shared" si="18"/>
        <v>9.5946884800000003</v>
      </c>
      <c r="L113" s="68">
        <f t="shared" si="19"/>
        <v>0</v>
      </c>
      <c r="M113" s="7"/>
      <c r="N113" s="3"/>
      <c r="O113" s="3"/>
      <c r="P113" s="3"/>
      <c r="Q113" s="3"/>
      <c r="R113" s="3"/>
      <c r="S113" s="3"/>
      <c r="T113" s="3"/>
      <c r="U113" s="3"/>
      <c r="V113" s="3"/>
      <c r="W113" s="3"/>
      <c r="X113" s="3"/>
      <c r="Y113" s="3"/>
      <c r="Z113" s="3"/>
    </row>
    <row r="114" spans="1:26" ht="15.5" x14ac:dyDescent="0.35">
      <c r="A114" s="126" t="s">
        <v>135</v>
      </c>
      <c r="B114" s="125">
        <f t="shared" ref="B114:C114" si="22">SUM(B102:B113)</f>
        <v>365</v>
      </c>
      <c r="C114" s="118">
        <f t="shared" si="22"/>
        <v>83100</v>
      </c>
      <c r="D114" s="52"/>
      <c r="E114" s="3"/>
      <c r="F114" s="3"/>
      <c r="G114" s="127">
        <f t="shared" ref="G114:L114" si="23">SUM(G102:G113)</f>
        <v>17788.555200000003</v>
      </c>
      <c r="H114" s="128">
        <f t="shared" si="23"/>
        <v>16047.602400000002</v>
      </c>
      <c r="I114" s="129">
        <f t="shared" si="23"/>
        <v>1740.9527999999996</v>
      </c>
      <c r="J114" s="129">
        <f t="shared" si="23"/>
        <v>67052.397600000011</v>
      </c>
      <c r="K114" s="130">
        <f t="shared" si="23"/>
        <v>1557.0322366560004</v>
      </c>
      <c r="L114" s="130">
        <f t="shared" si="23"/>
        <v>34.819055999999989</v>
      </c>
      <c r="M114" s="7"/>
      <c r="N114" s="3"/>
      <c r="O114" s="3"/>
      <c r="P114" s="3"/>
      <c r="Q114" s="3"/>
      <c r="R114" s="3"/>
      <c r="S114" s="3"/>
      <c r="T114" s="3"/>
      <c r="U114" s="3"/>
      <c r="V114" s="3"/>
      <c r="W114" s="3"/>
      <c r="X114" s="3"/>
      <c r="Y114" s="3"/>
      <c r="Z114" s="3"/>
    </row>
    <row r="115" spans="1:26" ht="15.5" x14ac:dyDescent="0.35">
      <c r="A115" s="131"/>
      <c r="B115" s="132"/>
      <c r="C115" s="3" t="s">
        <v>54</v>
      </c>
      <c r="D115" s="3"/>
      <c r="E115" s="133"/>
      <c r="F115" s="133"/>
      <c r="G115" s="133"/>
      <c r="H115" s="3"/>
      <c r="I115" s="3"/>
      <c r="J115" s="97"/>
      <c r="K115" s="134"/>
      <c r="L115" s="134"/>
      <c r="M115" s="135"/>
      <c r="N115" s="3"/>
      <c r="O115" s="3"/>
      <c r="P115" s="3"/>
      <c r="Q115" s="3"/>
      <c r="R115" s="3"/>
      <c r="S115" s="3"/>
      <c r="T115" s="3"/>
      <c r="U115" s="3"/>
      <c r="V115" s="3"/>
      <c r="W115" s="3"/>
      <c r="X115" s="3"/>
      <c r="Y115" s="3"/>
      <c r="Z115" s="3"/>
    </row>
    <row r="116" spans="1:26" ht="15.5" x14ac:dyDescent="0.35">
      <c r="A116" s="138" t="s">
        <v>136</v>
      </c>
      <c r="B116" s="139"/>
      <c r="C116" s="140"/>
      <c r="D116" s="136">
        <f>G114</f>
        <v>17788.555200000003</v>
      </c>
      <c r="E116" s="3" t="s">
        <v>20</v>
      </c>
      <c r="F116" s="3"/>
      <c r="G116" s="3"/>
      <c r="H116" s="3"/>
      <c r="I116" s="3"/>
      <c r="J116" s="3"/>
      <c r="K116" s="3"/>
      <c r="L116" s="3"/>
      <c r="M116" s="3"/>
      <c r="N116" s="3"/>
      <c r="O116" s="3"/>
      <c r="P116" s="3"/>
      <c r="Q116" s="3"/>
      <c r="R116" s="3"/>
      <c r="S116" s="3"/>
      <c r="T116" s="3"/>
      <c r="U116" s="3"/>
      <c r="V116" s="3"/>
      <c r="W116" s="3"/>
      <c r="X116" s="3"/>
      <c r="Y116" s="3"/>
      <c r="Z116" s="3"/>
    </row>
    <row r="117" spans="1:26" ht="15.5" x14ac:dyDescent="0.35">
      <c r="A117" s="138" t="s">
        <v>137</v>
      </c>
      <c r="B117" s="139"/>
      <c r="C117" s="140"/>
      <c r="D117" s="137">
        <f>I114/G114</f>
        <v>9.786926371625726E-2</v>
      </c>
      <c r="E117" s="3"/>
      <c r="F117" s="3"/>
      <c r="G117" s="3"/>
      <c r="H117" s="3"/>
      <c r="I117" s="3"/>
      <c r="J117" s="3"/>
      <c r="K117" s="3"/>
      <c r="L117" s="3"/>
      <c r="M117" s="3"/>
      <c r="N117" s="3"/>
      <c r="O117" s="3"/>
      <c r="P117" s="3"/>
      <c r="Q117" s="3"/>
      <c r="R117" s="3"/>
      <c r="S117" s="3"/>
      <c r="T117" s="3"/>
      <c r="U117" s="3"/>
      <c r="V117" s="3"/>
      <c r="W117" s="3"/>
      <c r="X117" s="3"/>
      <c r="Y117" s="3"/>
      <c r="Z117" s="3"/>
    </row>
    <row r="118" spans="1:26" ht="15.5" x14ac:dyDescent="0.3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5" x14ac:dyDescent="0.3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5" x14ac:dyDescent="0.3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5" x14ac:dyDescent="0.35">
      <c r="A121" s="17" t="s">
        <v>138</v>
      </c>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5" x14ac:dyDescent="0.35">
      <c r="A122" s="17" t="s">
        <v>139</v>
      </c>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5" x14ac:dyDescent="0.3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5" x14ac:dyDescent="0.3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5" x14ac:dyDescent="0.3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5" x14ac:dyDescent="0.3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5" x14ac:dyDescent="0.3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5" x14ac:dyDescent="0.3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5" x14ac:dyDescent="0.3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5" x14ac:dyDescent="0.3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5" x14ac:dyDescent="0.3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5" x14ac:dyDescent="0.3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5" x14ac:dyDescent="0.3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5" x14ac:dyDescent="0.3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5" x14ac:dyDescent="0.3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5" x14ac:dyDescent="0.3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5" x14ac:dyDescent="0.3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5" x14ac:dyDescent="0.3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5" x14ac:dyDescent="0.3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5" x14ac:dyDescent="0.3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5" x14ac:dyDescent="0.3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5" x14ac:dyDescent="0.3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5" x14ac:dyDescent="0.3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5" x14ac:dyDescent="0.3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5" x14ac:dyDescent="0.3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5" x14ac:dyDescent="0.3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5" x14ac:dyDescent="0.3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5" x14ac:dyDescent="0.3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5" x14ac:dyDescent="0.3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5" x14ac:dyDescent="0.3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5" x14ac:dyDescent="0.3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5" x14ac:dyDescent="0.3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5" x14ac:dyDescent="0.3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5" x14ac:dyDescent="0.3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5" x14ac:dyDescent="0.3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5" x14ac:dyDescent="0.3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5" x14ac:dyDescent="0.3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5" x14ac:dyDescent="0.3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5" x14ac:dyDescent="0.3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5" x14ac:dyDescent="0.3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5" x14ac:dyDescent="0.3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5" x14ac:dyDescent="0.3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5" x14ac:dyDescent="0.3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5" x14ac:dyDescent="0.3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5" x14ac:dyDescent="0.3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5" x14ac:dyDescent="0.3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5" x14ac:dyDescent="0.3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5" x14ac:dyDescent="0.3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5" x14ac:dyDescent="0.3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5" x14ac:dyDescent="0.3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5" x14ac:dyDescent="0.3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5" x14ac:dyDescent="0.3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5" x14ac:dyDescent="0.3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5" x14ac:dyDescent="0.3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5" x14ac:dyDescent="0.3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5" x14ac:dyDescent="0.3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5" x14ac:dyDescent="0.3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5" x14ac:dyDescent="0.3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5" x14ac:dyDescent="0.3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5" x14ac:dyDescent="0.3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5" x14ac:dyDescent="0.3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5" x14ac:dyDescent="0.3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5" x14ac:dyDescent="0.3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5" x14ac:dyDescent="0.3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5" x14ac:dyDescent="0.3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5" x14ac:dyDescent="0.3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5" x14ac:dyDescent="0.3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5" x14ac:dyDescent="0.3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5" x14ac:dyDescent="0.3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5" x14ac:dyDescent="0.3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5" x14ac:dyDescent="0.3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5" x14ac:dyDescent="0.3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5" x14ac:dyDescent="0.3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5" x14ac:dyDescent="0.3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5" x14ac:dyDescent="0.3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5" x14ac:dyDescent="0.3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5" x14ac:dyDescent="0.3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5" x14ac:dyDescent="0.3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5" x14ac:dyDescent="0.3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5" x14ac:dyDescent="0.3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5" x14ac:dyDescent="0.3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5" x14ac:dyDescent="0.3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5" x14ac:dyDescent="0.3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5" x14ac:dyDescent="0.3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5" x14ac:dyDescent="0.3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5" x14ac:dyDescent="0.3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5" x14ac:dyDescent="0.3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5" x14ac:dyDescent="0.3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5" x14ac:dyDescent="0.3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5" x14ac:dyDescent="0.3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5" x14ac:dyDescent="0.3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5" x14ac:dyDescent="0.3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5" x14ac:dyDescent="0.3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5" x14ac:dyDescent="0.3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5" x14ac:dyDescent="0.3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5" x14ac:dyDescent="0.3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5" x14ac:dyDescent="0.3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5" x14ac:dyDescent="0.3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5" x14ac:dyDescent="0.3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5" x14ac:dyDescent="0.3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5" x14ac:dyDescent="0.3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5" x14ac:dyDescent="0.3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5" x14ac:dyDescent="0.3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5" x14ac:dyDescent="0.3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5" x14ac:dyDescent="0.3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5" x14ac:dyDescent="0.3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5" x14ac:dyDescent="0.3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5" x14ac:dyDescent="0.3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5" x14ac:dyDescent="0.3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5" x14ac:dyDescent="0.3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5" x14ac:dyDescent="0.3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5" x14ac:dyDescent="0.3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5" x14ac:dyDescent="0.3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5" x14ac:dyDescent="0.3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5" x14ac:dyDescent="0.3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5" x14ac:dyDescent="0.3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5" x14ac:dyDescent="0.3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5" x14ac:dyDescent="0.3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5" x14ac:dyDescent="0.3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5" x14ac:dyDescent="0.3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5" x14ac:dyDescent="0.3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5" x14ac:dyDescent="0.3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5" x14ac:dyDescent="0.3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5" x14ac:dyDescent="0.3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5" x14ac:dyDescent="0.3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5" x14ac:dyDescent="0.3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5" x14ac:dyDescent="0.3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5" x14ac:dyDescent="0.3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5" x14ac:dyDescent="0.3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5" x14ac:dyDescent="0.3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5" x14ac:dyDescent="0.3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5" x14ac:dyDescent="0.3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5" x14ac:dyDescent="0.3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5" x14ac:dyDescent="0.3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5" x14ac:dyDescent="0.3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5" x14ac:dyDescent="0.3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5" x14ac:dyDescent="0.3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5" x14ac:dyDescent="0.3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5" x14ac:dyDescent="0.3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5" x14ac:dyDescent="0.3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5" x14ac:dyDescent="0.3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5" x14ac:dyDescent="0.3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5" x14ac:dyDescent="0.3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5" x14ac:dyDescent="0.3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5" x14ac:dyDescent="0.3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5" x14ac:dyDescent="0.3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5" x14ac:dyDescent="0.3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5" x14ac:dyDescent="0.3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5" x14ac:dyDescent="0.3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5" x14ac:dyDescent="0.3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5" x14ac:dyDescent="0.3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5" x14ac:dyDescent="0.3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5" x14ac:dyDescent="0.3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5" x14ac:dyDescent="0.3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5" x14ac:dyDescent="0.3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5" x14ac:dyDescent="0.3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5" x14ac:dyDescent="0.3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5" x14ac:dyDescent="0.3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5" x14ac:dyDescent="0.3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5" x14ac:dyDescent="0.3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5" x14ac:dyDescent="0.3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5" x14ac:dyDescent="0.3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5" x14ac:dyDescent="0.3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5" x14ac:dyDescent="0.3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5" x14ac:dyDescent="0.3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5" x14ac:dyDescent="0.3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5" x14ac:dyDescent="0.3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5" x14ac:dyDescent="0.3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5" x14ac:dyDescent="0.3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5" x14ac:dyDescent="0.3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5" x14ac:dyDescent="0.3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5" x14ac:dyDescent="0.3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5" x14ac:dyDescent="0.3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5" x14ac:dyDescent="0.3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5" x14ac:dyDescent="0.3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5" x14ac:dyDescent="0.3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5" x14ac:dyDescent="0.3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5" x14ac:dyDescent="0.3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5" x14ac:dyDescent="0.3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5" x14ac:dyDescent="0.3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5" x14ac:dyDescent="0.3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5" x14ac:dyDescent="0.3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5" x14ac:dyDescent="0.3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5" x14ac:dyDescent="0.3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5" x14ac:dyDescent="0.3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5" x14ac:dyDescent="0.3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5" x14ac:dyDescent="0.3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5" x14ac:dyDescent="0.3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5" x14ac:dyDescent="0.3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5" x14ac:dyDescent="0.3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5" x14ac:dyDescent="0.3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5" x14ac:dyDescent="0.3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5" x14ac:dyDescent="0.3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5" x14ac:dyDescent="0.3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5" x14ac:dyDescent="0.3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5" x14ac:dyDescent="0.3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5" x14ac:dyDescent="0.3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5" x14ac:dyDescent="0.3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5" x14ac:dyDescent="0.3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5" x14ac:dyDescent="0.3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5" x14ac:dyDescent="0.3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5" x14ac:dyDescent="0.3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5" x14ac:dyDescent="0.3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5" x14ac:dyDescent="0.3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5" x14ac:dyDescent="0.3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5" x14ac:dyDescent="0.3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5" x14ac:dyDescent="0.3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5" x14ac:dyDescent="0.3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5" x14ac:dyDescent="0.3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5" x14ac:dyDescent="0.3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5" x14ac:dyDescent="0.3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5" x14ac:dyDescent="0.3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5" x14ac:dyDescent="0.3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5" x14ac:dyDescent="0.3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5" x14ac:dyDescent="0.3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5" x14ac:dyDescent="0.3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5" x14ac:dyDescent="0.3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5" x14ac:dyDescent="0.3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5" x14ac:dyDescent="0.3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5" x14ac:dyDescent="0.3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5" x14ac:dyDescent="0.3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5" x14ac:dyDescent="0.3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5" x14ac:dyDescent="0.3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5" x14ac:dyDescent="0.3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5" x14ac:dyDescent="0.3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5" x14ac:dyDescent="0.3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5" x14ac:dyDescent="0.3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5" x14ac:dyDescent="0.3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5" x14ac:dyDescent="0.3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5" x14ac:dyDescent="0.3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5" x14ac:dyDescent="0.3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5" x14ac:dyDescent="0.3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5" x14ac:dyDescent="0.3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5" x14ac:dyDescent="0.3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5" x14ac:dyDescent="0.3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5" x14ac:dyDescent="0.3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5" x14ac:dyDescent="0.3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5" x14ac:dyDescent="0.3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5" x14ac:dyDescent="0.3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5" x14ac:dyDescent="0.3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5" x14ac:dyDescent="0.3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5" x14ac:dyDescent="0.3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5" x14ac:dyDescent="0.3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5" x14ac:dyDescent="0.3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5" x14ac:dyDescent="0.3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5" x14ac:dyDescent="0.3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5" x14ac:dyDescent="0.3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5" x14ac:dyDescent="0.3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5" x14ac:dyDescent="0.3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5" x14ac:dyDescent="0.3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5" x14ac:dyDescent="0.3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5" x14ac:dyDescent="0.3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5" x14ac:dyDescent="0.3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5" x14ac:dyDescent="0.3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5" x14ac:dyDescent="0.3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5" x14ac:dyDescent="0.3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5" x14ac:dyDescent="0.3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5" x14ac:dyDescent="0.3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5" x14ac:dyDescent="0.3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5" x14ac:dyDescent="0.3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5" x14ac:dyDescent="0.3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5" x14ac:dyDescent="0.3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5" x14ac:dyDescent="0.3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5" x14ac:dyDescent="0.3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5" x14ac:dyDescent="0.3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5" x14ac:dyDescent="0.3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5" x14ac:dyDescent="0.3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5" x14ac:dyDescent="0.3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5" x14ac:dyDescent="0.3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5" x14ac:dyDescent="0.3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5" x14ac:dyDescent="0.3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5" x14ac:dyDescent="0.3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5" x14ac:dyDescent="0.3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5" x14ac:dyDescent="0.3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5" x14ac:dyDescent="0.3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5" x14ac:dyDescent="0.3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5" x14ac:dyDescent="0.3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5" x14ac:dyDescent="0.3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5" x14ac:dyDescent="0.3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5" x14ac:dyDescent="0.3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5" x14ac:dyDescent="0.3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5" x14ac:dyDescent="0.3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5" x14ac:dyDescent="0.3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5" x14ac:dyDescent="0.3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5" x14ac:dyDescent="0.3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5" x14ac:dyDescent="0.3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5" x14ac:dyDescent="0.3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5" x14ac:dyDescent="0.3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5" x14ac:dyDescent="0.3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5" x14ac:dyDescent="0.3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5" x14ac:dyDescent="0.3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5" x14ac:dyDescent="0.3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5" x14ac:dyDescent="0.3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5" x14ac:dyDescent="0.3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5" x14ac:dyDescent="0.3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5" x14ac:dyDescent="0.3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5" x14ac:dyDescent="0.3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5" x14ac:dyDescent="0.3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5" x14ac:dyDescent="0.3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5" x14ac:dyDescent="0.3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5" x14ac:dyDescent="0.3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5" x14ac:dyDescent="0.3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5" x14ac:dyDescent="0.3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5" x14ac:dyDescent="0.3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5" x14ac:dyDescent="0.3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5" x14ac:dyDescent="0.3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5" x14ac:dyDescent="0.3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5" x14ac:dyDescent="0.3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5" x14ac:dyDescent="0.3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5" x14ac:dyDescent="0.3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5" x14ac:dyDescent="0.3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5" x14ac:dyDescent="0.3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5" x14ac:dyDescent="0.3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5" x14ac:dyDescent="0.3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5" x14ac:dyDescent="0.3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5" x14ac:dyDescent="0.3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5" x14ac:dyDescent="0.3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5" x14ac:dyDescent="0.3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5" x14ac:dyDescent="0.3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5" x14ac:dyDescent="0.3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5" x14ac:dyDescent="0.3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5" x14ac:dyDescent="0.3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5" x14ac:dyDescent="0.3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5" x14ac:dyDescent="0.3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5" x14ac:dyDescent="0.3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5" x14ac:dyDescent="0.3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5" x14ac:dyDescent="0.3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5" x14ac:dyDescent="0.3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5" x14ac:dyDescent="0.3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5" x14ac:dyDescent="0.3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5" x14ac:dyDescent="0.3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5" x14ac:dyDescent="0.3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5" x14ac:dyDescent="0.3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5" x14ac:dyDescent="0.3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5" x14ac:dyDescent="0.3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5" x14ac:dyDescent="0.3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5" x14ac:dyDescent="0.3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5" x14ac:dyDescent="0.3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5" x14ac:dyDescent="0.3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5" x14ac:dyDescent="0.3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5" x14ac:dyDescent="0.3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5" x14ac:dyDescent="0.3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5" x14ac:dyDescent="0.3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5" x14ac:dyDescent="0.3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5" x14ac:dyDescent="0.3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5" x14ac:dyDescent="0.3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5" x14ac:dyDescent="0.3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5" x14ac:dyDescent="0.3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5" x14ac:dyDescent="0.3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5" x14ac:dyDescent="0.3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5" x14ac:dyDescent="0.3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5" x14ac:dyDescent="0.3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5" x14ac:dyDescent="0.3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5" x14ac:dyDescent="0.3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5" x14ac:dyDescent="0.3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5" x14ac:dyDescent="0.3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5" x14ac:dyDescent="0.3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5" x14ac:dyDescent="0.3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5" x14ac:dyDescent="0.3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5" x14ac:dyDescent="0.3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5" x14ac:dyDescent="0.3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5" x14ac:dyDescent="0.3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5" x14ac:dyDescent="0.3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5" x14ac:dyDescent="0.3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5" x14ac:dyDescent="0.3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5" x14ac:dyDescent="0.3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5" x14ac:dyDescent="0.3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5" x14ac:dyDescent="0.3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5" x14ac:dyDescent="0.3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5" x14ac:dyDescent="0.3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5" x14ac:dyDescent="0.3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5" x14ac:dyDescent="0.3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5" x14ac:dyDescent="0.3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5" x14ac:dyDescent="0.3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5" x14ac:dyDescent="0.3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5" x14ac:dyDescent="0.3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5" x14ac:dyDescent="0.3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5" x14ac:dyDescent="0.3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5" x14ac:dyDescent="0.3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5" x14ac:dyDescent="0.3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5" x14ac:dyDescent="0.3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5" x14ac:dyDescent="0.3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5" x14ac:dyDescent="0.3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5" x14ac:dyDescent="0.3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5" x14ac:dyDescent="0.3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5" x14ac:dyDescent="0.3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5" x14ac:dyDescent="0.3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5" x14ac:dyDescent="0.3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5" x14ac:dyDescent="0.3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5" x14ac:dyDescent="0.3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5" x14ac:dyDescent="0.3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5" x14ac:dyDescent="0.3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5" x14ac:dyDescent="0.3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5" x14ac:dyDescent="0.3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5" x14ac:dyDescent="0.3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5" x14ac:dyDescent="0.3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5" x14ac:dyDescent="0.3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5" x14ac:dyDescent="0.3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5" x14ac:dyDescent="0.3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5" x14ac:dyDescent="0.3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5" x14ac:dyDescent="0.3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5" x14ac:dyDescent="0.3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5" x14ac:dyDescent="0.3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5" x14ac:dyDescent="0.3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5" x14ac:dyDescent="0.3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5" x14ac:dyDescent="0.3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5" x14ac:dyDescent="0.3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5" x14ac:dyDescent="0.3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5" x14ac:dyDescent="0.3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5" x14ac:dyDescent="0.3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5" x14ac:dyDescent="0.3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5" x14ac:dyDescent="0.3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5" x14ac:dyDescent="0.3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5" x14ac:dyDescent="0.3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5" x14ac:dyDescent="0.3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5" x14ac:dyDescent="0.3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5" x14ac:dyDescent="0.3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5" x14ac:dyDescent="0.3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5" x14ac:dyDescent="0.3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5" x14ac:dyDescent="0.3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5" x14ac:dyDescent="0.3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5" x14ac:dyDescent="0.3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5" x14ac:dyDescent="0.3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5" x14ac:dyDescent="0.3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5" x14ac:dyDescent="0.3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5" x14ac:dyDescent="0.3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5" x14ac:dyDescent="0.3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5" x14ac:dyDescent="0.3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5" x14ac:dyDescent="0.3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5" x14ac:dyDescent="0.3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5" x14ac:dyDescent="0.3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5" x14ac:dyDescent="0.3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5" x14ac:dyDescent="0.3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5" x14ac:dyDescent="0.3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5" x14ac:dyDescent="0.3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5" x14ac:dyDescent="0.3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5" x14ac:dyDescent="0.3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5" x14ac:dyDescent="0.3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5" x14ac:dyDescent="0.3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5" x14ac:dyDescent="0.3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5" x14ac:dyDescent="0.3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5" x14ac:dyDescent="0.3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5" x14ac:dyDescent="0.3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5" x14ac:dyDescent="0.3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5" x14ac:dyDescent="0.3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5" x14ac:dyDescent="0.3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5" x14ac:dyDescent="0.3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5" x14ac:dyDescent="0.3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5" x14ac:dyDescent="0.3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5" x14ac:dyDescent="0.3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5" x14ac:dyDescent="0.3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5" x14ac:dyDescent="0.3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5" x14ac:dyDescent="0.3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5" x14ac:dyDescent="0.3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5" x14ac:dyDescent="0.3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5" x14ac:dyDescent="0.3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5" x14ac:dyDescent="0.3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5" x14ac:dyDescent="0.3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5" x14ac:dyDescent="0.3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5" x14ac:dyDescent="0.3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5" x14ac:dyDescent="0.3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5" x14ac:dyDescent="0.3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5" x14ac:dyDescent="0.3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5" x14ac:dyDescent="0.3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5" x14ac:dyDescent="0.3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5" x14ac:dyDescent="0.3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5" x14ac:dyDescent="0.3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5" x14ac:dyDescent="0.3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5" x14ac:dyDescent="0.3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5" x14ac:dyDescent="0.3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5" x14ac:dyDescent="0.3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5" x14ac:dyDescent="0.3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5" x14ac:dyDescent="0.3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5" x14ac:dyDescent="0.3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5" x14ac:dyDescent="0.3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5" x14ac:dyDescent="0.3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5" x14ac:dyDescent="0.3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5" x14ac:dyDescent="0.3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5" x14ac:dyDescent="0.3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5" x14ac:dyDescent="0.3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5" x14ac:dyDescent="0.3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5" x14ac:dyDescent="0.3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5" x14ac:dyDescent="0.3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5" x14ac:dyDescent="0.3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5" x14ac:dyDescent="0.3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5" x14ac:dyDescent="0.3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5" x14ac:dyDescent="0.3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5" x14ac:dyDescent="0.3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5" x14ac:dyDescent="0.3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5" x14ac:dyDescent="0.3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5" x14ac:dyDescent="0.3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5" x14ac:dyDescent="0.3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5" x14ac:dyDescent="0.3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5" x14ac:dyDescent="0.3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5" x14ac:dyDescent="0.3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5" x14ac:dyDescent="0.3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5" x14ac:dyDescent="0.3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5" x14ac:dyDescent="0.3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5" x14ac:dyDescent="0.3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5" x14ac:dyDescent="0.3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5" x14ac:dyDescent="0.3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5" x14ac:dyDescent="0.3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5" x14ac:dyDescent="0.3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5" x14ac:dyDescent="0.3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5" x14ac:dyDescent="0.3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5" x14ac:dyDescent="0.3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5" x14ac:dyDescent="0.3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5" x14ac:dyDescent="0.3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5" x14ac:dyDescent="0.3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5" x14ac:dyDescent="0.3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5" x14ac:dyDescent="0.3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5" x14ac:dyDescent="0.3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5" x14ac:dyDescent="0.3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5" x14ac:dyDescent="0.3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5" x14ac:dyDescent="0.3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5" x14ac:dyDescent="0.3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5" x14ac:dyDescent="0.3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5" x14ac:dyDescent="0.3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5" x14ac:dyDescent="0.3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5" x14ac:dyDescent="0.3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5" x14ac:dyDescent="0.3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5" x14ac:dyDescent="0.3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5" x14ac:dyDescent="0.3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5" x14ac:dyDescent="0.3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5" x14ac:dyDescent="0.3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5" x14ac:dyDescent="0.3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5" x14ac:dyDescent="0.3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5" x14ac:dyDescent="0.3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5" x14ac:dyDescent="0.3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5" x14ac:dyDescent="0.3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5" x14ac:dyDescent="0.3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5" x14ac:dyDescent="0.3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5" x14ac:dyDescent="0.3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5" x14ac:dyDescent="0.3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5" x14ac:dyDescent="0.3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5" x14ac:dyDescent="0.3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5" x14ac:dyDescent="0.3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5" x14ac:dyDescent="0.3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5" x14ac:dyDescent="0.3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5" x14ac:dyDescent="0.3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5" x14ac:dyDescent="0.3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5" x14ac:dyDescent="0.3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5" x14ac:dyDescent="0.3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5" x14ac:dyDescent="0.3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5" x14ac:dyDescent="0.3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5" x14ac:dyDescent="0.3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5" x14ac:dyDescent="0.3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5" x14ac:dyDescent="0.3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5" x14ac:dyDescent="0.3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5" x14ac:dyDescent="0.3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5" x14ac:dyDescent="0.3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5" x14ac:dyDescent="0.3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5" x14ac:dyDescent="0.3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5" x14ac:dyDescent="0.3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5" x14ac:dyDescent="0.3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5" x14ac:dyDescent="0.3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5" x14ac:dyDescent="0.3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5" x14ac:dyDescent="0.3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5" x14ac:dyDescent="0.3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5" x14ac:dyDescent="0.3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5" x14ac:dyDescent="0.3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5" x14ac:dyDescent="0.3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5" x14ac:dyDescent="0.3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5" x14ac:dyDescent="0.3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5" x14ac:dyDescent="0.3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5" x14ac:dyDescent="0.3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5" x14ac:dyDescent="0.3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5" x14ac:dyDescent="0.3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5" x14ac:dyDescent="0.3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5" x14ac:dyDescent="0.3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5" x14ac:dyDescent="0.3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5" x14ac:dyDescent="0.3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5" x14ac:dyDescent="0.3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5" x14ac:dyDescent="0.3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5" x14ac:dyDescent="0.3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5" x14ac:dyDescent="0.3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5" x14ac:dyDescent="0.3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5" x14ac:dyDescent="0.3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5" x14ac:dyDescent="0.3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5" x14ac:dyDescent="0.3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5" x14ac:dyDescent="0.3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5" x14ac:dyDescent="0.3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5" x14ac:dyDescent="0.3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5" x14ac:dyDescent="0.3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5" x14ac:dyDescent="0.3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5" x14ac:dyDescent="0.3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5" x14ac:dyDescent="0.3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5" x14ac:dyDescent="0.3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5" x14ac:dyDescent="0.3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5" x14ac:dyDescent="0.3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5" x14ac:dyDescent="0.3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5" x14ac:dyDescent="0.3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5" x14ac:dyDescent="0.3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5" x14ac:dyDescent="0.3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5" x14ac:dyDescent="0.3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5" x14ac:dyDescent="0.3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5" x14ac:dyDescent="0.3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5" x14ac:dyDescent="0.3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5" x14ac:dyDescent="0.3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5" x14ac:dyDescent="0.3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5" x14ac:dyDescent="0.3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5" x14ac:dyDescent="0.3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5" x14ac:dyDescent="0.3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5" x14ac:dyDescent="0.3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5" x14ac:dyDescent="0.3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5" x14ac:dyDescent="0.3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5" x14ac:dyDescent="0.3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5" x14ac:dyDescent="0.3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5" x14ac:dyDescent="0.3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5" x14ac:dyDescent="0.3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5" x14ac:dyDescent="0.3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5" x14ac:dyDescent="0.3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5" x14ac:dyDescent="0.3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5" x14ac:dyDescent="0.3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5" x14ac:dyDescent="0.3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5" x14ac:dyDescent="0.3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5" x14ac:dyDescent="0.3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5" x14ac:dyDescent="0.3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5" x14ac:dyDescent="0.3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5" x14ac:dyDescent="0.3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5" x14ac:dyDescent="0.3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5" x14ac:dyDescent="0.3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5" x14ac:dyDescent="0.3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5" x14ac:dyDescent="0.3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5" x14ac:dyDescent="0.3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5" x14ac:dyDescent="0.3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5" x14ac:dyDescent="0.3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5" x14ac:dyDescent="0.3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5" x14ac:dyDescent="0.3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5" x14ac:dyDescent="0.3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5" x14ac:dyDescent="0.3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5" x14ac:dyDescent="0.3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5" x14ac:dyDescent="0.3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5" x14ac:dyDescent="0.3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5" x14ac:dyDescent="0.3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5" x14ac:dyDescent="0.3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5" x14ac:dyDescent="0.3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5" x14ac:dyDescent="0.3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5" x14ac:dyDescent="0.3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5" x14ac:dyDescent="0.3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5" x14ac:dyDescent="0.3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5" x14ac:dyDescent="0.3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5" x14ac:dyDescent="0.3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5" x14ac:dyDescent="0.3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5" x14ac:dyDescent="0.3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5" x14ac:dyDescent="0.3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5" x14ac:dyDescent="0.3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5" x14ac:dyDescent="0.3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5" x14ac:dyDescent="0.3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5" x14ac:dyDescent="0.3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5" x14ac:dyDescent="0.3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5" x14ac:dyDescent="0.3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5" x14ac:dyDescent="0.3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5" x14ac:dyDescent="0.3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5" x14ac:dyDescent="0.3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5" x14ac:dyDescent="0.3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5" x14ac:dyDescent="0.3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5" x14ac:dyDescent="0.3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5" x14ac:dyDescent="0.3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5" x14ac:dyDescent="0.3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5" x14ac:dyDescent="0.3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5" x14ac:dyDescent="0.3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5" x14ac:dyDescent="0.3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5" x14ac:dyDescent="0.3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5" x14ac:dyDescent="0.3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5" x14ac:dyDescent="0.3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5" x14ac:dyDescent="0.3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5" x14ac:dyDescent="0.3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5" x14ac:dyDescent="0.3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5" x14ac:dyDescent="0.3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5" x14ac:dyDescent="0.3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5" x14ac:dyDescent="0.3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5" x14ac:dyDescent="0.3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5" x14ac:dyDescent="0.3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5" x14ac:dyDescent="0.3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5" x14ac:dyDescent="0.3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5" x14ac:dyDescent="0.3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5" x14ac:dyDescent="0.3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5" x14ac:dyDescent="0.3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5" x14ac:dyDescent="0.3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5" x14ac:dyDescent="0.3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5" x14ac:dyDescent="0.3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5" x14ac:dyDescent="0.3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5" x14ac:dyDescent="0.3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5" x14ac:dyDescent="0.3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5" x14ac:dyDescent="0.3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5" x14ac:dyDescent="0.3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5" x14ac:dyDescent="0.3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5" x14ac:dyDescent="0.3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5" x14ac:dyDescent="0.3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5" x14ac:dyDescent="0.3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5" x14ac:dyDescent="0.3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5" x14ac:dyDescent="0.3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5" x14ac:dyDescent="0.3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5" x14ac:dyDescent="0.3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5" x14ac:dyDescent="0.3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5" x14ac:dyDescent="0.3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5" x14ac:dyDescent="0.3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5" x14ac:dyDescent="0.3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5" x14ac:dyDescent="0.3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5" x14ac:dyDescent="0.3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5" x14ac:dyDescent="0.3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5" x14ac:dyDescent="0.3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5" x14ac:dyDescent="0.3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5" x14ac:dyDescent="0.3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5" x14ac:dyDescent="0.3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5" x14ac:dyDescent="0.3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5" x14ac:dyDescent="0.3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5" x14ac:dyDescent="0.3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5" x14ac:dyDescent="0.3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5" x14ac:dyDescent="0.3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5" x14ac:dyDescent="0.3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5" x14ac:dyDescent="0.3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5" x14ac:dyDescent="0.3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5" x14ac:dyDescent="0.3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5" x14ac:dyDescent="0.3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5" x14ac:dyDescent="0.3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5" x14ac:dyDescent="0.3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5" x14ac:dyDescent="0.3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5" x14ac:dyDescent="0.3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5" x14ac:dyDescent="0.3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5" x14ac:dyDescent="0.3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5" x14ac:dyDescent="0.3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5" x14ac:dyDescent="0.3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5" x14ac:dyDescent="0.3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5" x14ac:dyDescent="0.3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5" x14ac:dyDescent="0.3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5" x14ac:dyDescent="0.3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5" x14ac:dyDescent="0.3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5" x14ac:dyDescent="0.3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5" x14ac:dyDescent="0.3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5" x14ac:dyDescent="0.3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5" x14ac:dyDescent="0.3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5" x14ac:dyDescent="0.3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5" x14ac:dyDescent="0.3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5" x14ac:dyDescent="0.3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5" x14ac:dyDescent="0.3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5" x14ac:dyDescent="0.3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5" x14ac:dyDescent="0.3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5" x14ac:dyDescent="0.3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5" x14ac:dyDescent="0.3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5" x14ac:dyDescent="0.3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5" x14ac:dyDescent="0.3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5" x14ac:dyDescent="0.3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5" x14ac:dyDescent="0.3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5" x14ac:dyDescent="0.3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5" x14ac:dyDescent="0.3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5" x14ac:dyDescent="0.3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5" x14ac:dyDescent="0.3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5" x14ac:dyDescent="0.3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5" x14ac:dyDescent="0.3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5" x14ac:dyDescent="0.3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5" x14ac:dyDescent="0.3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5" x14ac:dyDescent="0.3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5" x14ac:dyDescent="0.3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5" x14ac:dyDescent="0.3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5" x14ac:dyDescent="0.3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5" x14ac:dyDescent="0.3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5" x14ac:dyDescent="0.3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5" x14ac:dyDescent="0.3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5" x14ac:dyDescent="0.3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5" x14ac:dyDescent="0.3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5" x14ac:dyDescent="0.3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5" x14ac:dyDescent="0.3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5" x14ac:dyDescent="0.3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5" x14ac:dyDescent="0.3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5" x14ac:dyDescent="0.3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5" x14ac:dyDescent="0.3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5" x14ac:dyDescent="0.3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5" x14ac:dyDescent="0.3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5" x14ac:dyDescent="0.3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5" x14ac:dyDescent="0.3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5" x14ac:dyDescent="0.3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5" x14ac:dyDescent="0.3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5" x14ac:dyDescent="0.3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5" x14ac:dyDescent="0.3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5" x14ac:dyDescent="0.3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5" x14ac:dyDescent="0.3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5" x14ac:dyDescent="0.3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5" x14ac:dyDescent="0.3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5" x14ac:dyDescent="0.3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5" x14ac:dyDescent="0.3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5" x14ac:dyDescent="0.3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5" x14ac:dyDescent="0.3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5" x14ac:dyDescent="0.3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5" x14ac:dyDescent="0.3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5" x14ac:dyDescent="0.3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5" x14ac:dyDescent="0.3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5" x14ac:dyDescent="0.3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5" x14ac:dyDescent="0.3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5" x14ac:dyDescent="0.3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5" x14ac:dyDescent="0.3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5" x14ac:dyDescent="0.3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5" x14ac:dyDescent="0.3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5" x14ac:dyDescent="0.3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5" x14ac:dyDescent="0.3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5" x14ac:dyDescent="0.3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5" x14ac:dyDescent="0.3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5" x14ac:dyDescent="0.3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5" x14ac:dyDescent="0.3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5" x14ac:dyDescent="0.3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5" x14ac:dyDescent="0.3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5" x14ac:dyDescent="0.3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5" x14ac:dyDescent="0.3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5" x14ac:dyDescent="0.3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5" x14ac:dyDescent="0.3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5" x14ac:dyDescent="0.3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5" x14ac:dyDescent="0.3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5" x14ac:dyDescent="0.3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5" x14ac:dyDescent="0.3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5" x14ac:dyDescent="0.3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5" x14ac:dyDescent="0.3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5" x14ac:dyDescent="0.3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5" x14ac:dyDescent="0.3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5" x14ac:dyDescent="0.3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5" x14ac:dyDescent="0.3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5" x14ac:dyDescent="0.3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5" x14ac:dyDescent="0.3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5" x14ac:dyDescent="0.3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5" x14ac:dyDescent="0.3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5" x14ac:dyDescent="0.3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5" x14ac:dyDescent="0.3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5" x14ac:dyDescent="0.3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5" x14ac:dyDescent="0.3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5" x14ac:dyDescent="0.3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5" x14ac:dyDescent="0.3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5" x14ac:dyDescent="0.3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5" x14ac:dyDescent="0.3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5" x14ac:dyDescent="0.3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5" x14ac:dyDescent="0.3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5" x14ac:dyDescent="0.3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5" x14ac:dyDescent="0.3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5" x14ac:dyDescent="0.3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5" x14ac:dyDescent="0.3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5" x14ac:dyDescent="0.3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5" x14ac:dyDescent="0.3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5" x14ac:dyDescent="0.3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5" x14ac:dyDescent="0.3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5" x14ac:dyDescent="0.3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5" x14ac:dyDescent="0.3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5" x14ac:dyDescent="0.3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5" x14ac:dyDescent="0.3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5" x14ac:dyDescent="0.3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5" x14ac:dyDescent="0.3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5" x14ac:dyDescent="0.3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5" x14ac:dyDescent="0.3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5" x14ac:dyDescent="0.3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5" x14ac:dyDescent="0.3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5" x14ac:dyDescent="0.3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5" x14ac:dyDescent="0.3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5" x14ac:dyDescent="0.3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5" x14ac:dyDescent="0.3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5" x14ac:dyDescent="0.3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5" x14ac:dyDescent="0.3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5" x14ac:dyDescent="0.3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5" x14ac:dyDescent="0.3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5" x14ac:dyDescent="0.3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5" x14ac:dyDescent="0.3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5" x14ac:dyDescent="0.3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5" x14ac:dyDescent="0.3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5" x14ac:dyDescent="0.3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5" x14ac:dyDescent="0.3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5" x14ac:dyDescent="0.3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5" x14ac:dyDescent="0.3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5" x14ac:dyDescent="0.3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5" x14ac:dyDescent="0.3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5" x14ac:dyDescent="0.3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5" x14ac:dyDescent="0.3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5" x14ac:dyDescent="0.3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5" x14ac:dyDescent="0.3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5" x14ac:dyDescent="0.3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5" x14ac:dyDescent="0.3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5" x14ac:dyDescent="0.3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5" x14ac:dyDescent="0.3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5" x14ac:dyDescent="0.3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5" x14ac:dyDescent="0.3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5" x14ac:dyDescent="0.3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5" x14ac:dyDescent="0.3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5" x14ac:dyDescent="0.3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5" x14ac:dyDescent="0.3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1:26" ht="15.5" x14ac:dyDescent="0.35">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spans="1:26" ht="15.5" x14ac:dyDescent="0.35">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row r="1003" spans="1:26" ht="15.5" x14ac:dyDescent="0.35">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row>
    <row r="1004" spans="1:26" ht="15.5" x14ac:dyDescent="0.35">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row>
    <row r="1005" spans="1:26" ht="15.5" x14ac:dyDescent="0.35">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row>
    <row r="1006" spans="1:26" ht="15.5" x14ac:dyDescent="0.35">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row>
    <row r="1007" spans="1:26" ht="15.5" x14ac:dyDescent="0.35">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row>
    <row r="1008" spans="1:26" ht="15.5" x14ac:dyDescent="0.35">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row>
    <row r="1009" spans="1:26" ht="15.5" x14ac:dyDescent="0.35">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row>
  </sheetData>
  <mergeCells count="49">
    <mergeCell ref="A20:E20"/>
    <mergeCell ref="A4:H4"/>
    <mergeCell ref="A9:H9"/>
    <mergeCell ref="A10:E10"/>
    <mergeCell ref="A11:E11"/>
    <mergeCell ref="A12:E12"/>
    <mergeCell ref="A13:E13"/>
    <mergeCell ref="A14:E14"/>
    <mergeCell ref="A15:E15"/>
    <mergeCell ref="A16:E16"/>
    <mergeCell ref="A18:E18"/>
    <mergeCell ref="A19:E19"/>
    <mergeCell ref="A34:E34"/>
    <mergeCell ref="A21:E21"/>
    <mergeCell ref="A22:E22"/>
    <mergeCell ref="A23:E23"/>
    <mergeCell ref="A24:E24"/>
    <mergeCell ref="A27:E27"/>
    <mergeCell ref="A28:E28"/>
    <mergeCell ref="A29:E29"/>
    <mergeCell ref="A30:E30"/>
    <mergeCell ref="A31:E31"/>
    <mergeCell ref="A32:E32"/>
    <mergeCell ref="A33:E33"/>
    <mergeCell ref="A82:D82"/>
    <mergeCell ref="A35:E35"/>
    <mergeCell ref="A36:E36"/>
    <mergeCell ref="A37:E37"/>
    <mergeCell ref="A38:E38"/>
    <mergeCell ref="A42:B42"/>
    <mergeCell ref="C42:D42"/>
    <mergeCell ref="E42:K42"/>
    <mergeCell ref="L42:N42"/>
    <mergeCell ref="P42:R42"/>
    <mergeCell ref="A78:D78"/>
    <mergeCell ref="A79:D79"/>
    <mergeCell ref="A80:D80"/>
    <mergeCell ref="A117:C117"/>
    <mergeCell ref="A83:D83"/>
    <mergeCell ref="A87:C87"/>
    <mergeCell ref="A88:C88"/>
    <mergeCell ref="A89:C89"/>
    <mergeCell ref="A90:C90"/>
    <mergeCell ref="A91:C91"/>
    <mergeCell ref="A95:C95"/>
    <mergeCell ref="A96:C96"/>
    <mergeCell ref="A97:C97"/>
    <mergeCell ref="A98:C98"/>
    <mergeCell ref="A116:C116"/>
  </mergeCells>
  <hyperlinks>
    <hyperlink ref="I87" r:id="rId1" xr:uid="{5B8F7DDC-CDAC-42C2-9A4F-E04B2EE2F426}"/>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PV kannattavuus ja mitoitus</vt:lpstr>
    </vt:vector>
  </TitlesOfParts>
  <Company>Suomen ymp?rist?keskus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Rummukainen Miika</dc:creator>
  <cp:lastModifiedBy>Rummukainen Miika</cp:lastModifiedBy>
  <dcterms:created xsi:type="dcterms:W3CDTF">2020-08-21T12:14:27Z</dcterms:created>
  <dcterms:modified xsi:type="dcterms:W3CDTF">2020-08-25T11:47:09Z</dcterms:modified>
</cp:coreProperties>
</file>